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85" yWindow="65521" windowWidth="5970" windowHeight="5580" tabRatio="922" activeTab="3"/>
  </bookViews>
  <sheets>
    <sheet name="ист" sheetId="1" r:id="rId1"/>
    <sheet name="прил_1   (2)" sheetId="2" r:id="rId2"/>
    <sheet name="прил_1  " sheetId="3" r:id="rId3"/>
    <sheet name="прил_2" sheetId="4" r:id="rId4"/>
    <sheet name="прил_3" sheetId="5" r:id="rId5"/>
    <sheet name="прил_4" sheetId="6" r:id="rId6"/>
    <sheet name="прил_5" sheetId="7" r:id="rId7"/>
    <sheet name="прил_6" sheetId="8" r:id="rId8"/>
    <sheet name="прил_7" sheetId="9" r:id="rId9"/>
    <sheet name="прил_8," sheetId="10" r:id="rId10"/>
    <sheet name="прил_9," sheetId="11" r:id="rId11"/>
    <sheet name="прил_10," sheetId="12" r:id="rId12"/>
    <sheet name="прил_11," sheetId="13" r:id="rId13"/>
    <sheet name="прил_12," sheetId="14" r:id="rId14"/>
    <sheet name="прил_13" sheetId="15" r:id="rId15"/>
    <sheet name="прил_14" sheetId="16" r:id="rId16"/>
    <sheet name="прил_15" sheetId="17" r:id="rId17"/>
    <sheet name="прил_16" sheetId="18" r:id="rId18"/>
    <sheet name="прил_17" sheetId="19" r:id="rId19"/>
    <sheet name="отклонение по дох" sheetId="20" r:id="rId20"/>
    <sheet name="прил_10 (2)" sheetId="21" r:id="rId21"/>
  </sheets>
  <externalReferences>
    <externalReference r:id="rId24"/>
    <externalReference r:id="rId25"/>
  </externalReferences>
  <definedNames>
    <definedName name="_xlnm.Print_Titles" localSheetId="1">'прил_1   (2)'!$11:$12</definedName>
    <definedName name="_xlnm.Print_Titles" localSheetId="4">'прил_3'!$9:$11</definedName>
    <definedName name="_xlnm.Print_Area" localSheetId="0">'ист'!$A$1:$D$32</definedName>
    <definedName name="_xlnm.Print_Area" localSheetId="19">'отклонение по дох'!$E$1:$V$145</definedName>
    <definedName name="_xlnm.Print_Area" localSheetId="2">'прил_1  '!$E$1:$Q$150</definedName>
    <definedName name="_xlnm.Print_Area" localSheetId="1">'прил_1   (2)'!$E$1:$R$95</definedName>
    <definedName name="_xlnm.Print_Area" localSheetId="20">'прил_10 (2)'!$A$1:$J$196</definedName>
    <definedName name="_xlnm.Print_Area" localSheetId="16">'прил_15'!$A$1:$E$39</definedName>
    <definedName name="_xlnm.Print_Area" localSheetId="3">'прил_2'!$A$1:$I$32</definedName>
    <definedName name="_xlnm.Print_Area" localSheetId="4">'прил_3'!$A$1:$M$95</definedName>
    <definedName name="_xlnm.Print_Area" localSheetId="5">'прил_4'!$A$1:$Q$1224</definedName>
    <definedName name="_xlnm.Print_Area" localSheetId="6">'прил_5'!$A$1:$G$37</definedName>
  </definedNames>
  <calcPr fullCalcOnLoad="1"/>
</workbook>
</file>

<file path=xl/sharedStrings.xml><?xml version="1.0" encoding="utf-8"?>
<sst xmlns="http://schemas.openxmlformats.org/spreadsheetml/2006/main" count="11872" uniqueCount="1104">
  <si>
    <t>11301995050000130</t>
  </si>
  <si>
    <t>11301995005000000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</si>
  <si>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</si>
  <si>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11400000000000000</t>
  </si>
  <si>
    <t>11402053050000410</t>
  </si>
  <si>
    <t>11406000000000000</t>
  </si>
  <si>
    <t xml:space="preserve">Доходы от продажи земельных участков, находящихся в государственной и муниципальной собственности
</t>
  </si>
  <si>
    <t>11406013100000430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</si>
  <si>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</si>
  <si>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11600000000000000</t>
  </si>
  <si>
    <t>11603000000000140</t>
  </si>
  <si>
    <t xml:space="preserve">
Денежные взыскания (штрафы) за нарушение законодательства о налогах и сборах
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</si>
  <si>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
</t>
  </si>
  <si>
    <t>11603010010000140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</si>
  <si>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</si>
  <si>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>11603030010000140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</si>
  <si>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</si>
  <si>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11625000000000140</t>
  </si>
  <si>
    <t xml:space="preserve">Денежные взыскания (штрафы) за нарушение законодательства Российской Федерации об особо охраняемых природных территориях
</t>
  </si>
  <si>
    <t xml:space="preserve">Денежные взыскания (штрафы) за нарушение законодательства Российской Федерации об охране и использовании животного мира
</t>
  </si>
  <si>
    <t>11625030010000140</t>
  </si>
  <si>
    <t xml:space="preserve">Денежные взыскания (штрафы) за нарушение законодательства в области охраны окружающей среды
</t>
  </si>
  <si>
    <t>11625050010000140</t>
  </si>
  <si>
    <t>11625060010000140</t>
  </si>
  <si>
    <t xml:space="preserve">Денежные взыскания (штрафы) за нарушение земельного законодательства
</t>
  </si>
  <si>
    <t>11633000000000140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</si>
  <si>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
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</si>
  <si>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
</t>
  </si>
  <si>
    <t>11633050050000140</t>
  </si>
  <si>
    <t xml:space="preserve">Прочие поступления от денежных взысканий (штрафов) и иных сумм в возмещение ущерба
</t>
  </si>
  <si>
    <t>11690000000000140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</si>
  <si>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
</t>
  </si>
  <si>
    <t>11606000010000140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</si>
  <si>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</si>
  <si>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>11628000010000140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</si>
  <si>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</si>
  <si>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11643000010000140</t>
  </si>
  <si>
    <t>20200000000000000</t>
  </si>
  <si>
    <t xml:space="preserve">БЕЗВОЗМЕЗДНЫЕ ПОСТУПЛЕНИЯ ОТ ДРУГИХ БЮДЖЕТОВ БЮДЖЕТНОЙ СИСТЕМЫ РОССИЙСКОЙ ФЕДЕРАЦИИ
</t>
  </si>
  <si>
    <t>20201000000000151</t>
  </si>
  <si>
    <t>20201001000000151</t>
  </si>
  <si>
    <t>20201001050000151</t>
  </si>
  <si>
    <t xml:space="preserve">Субсидии бюджетам бюджетной системы Российской Федерации (межбюджетные субсидии)
</t>
  </si>
  <si>
    <t>20202000000000151</t>
  </si>
  <si>
    <t>20201003050000151</t>
  </si>
  <si>
    <t>20201003000000151</t>
  </si>
  <si>
    <t>2020299900000151</t>
  </si>
  <si>
    <t>2020299905000151</t>
  </si>
  <si>
    <t>20203000000000151</t>
  </si>
  <si>
    <t>20203015000000151</t>
  </si>
  <si>
    <t>20203015050000151</t>
  </si>
  <si>
    <t>20203029000000151</t>
  </si>
  <si>
    <t>20203029050000151</t>
  </si>
  <si>
    <t>20203999000000151</t>
  </si>
  <si>
    <t>20203999050000151</t>
  </si>
  <si>
    <t xml:space="preserve">
Межбюджетные трансферты, передаваемые бюджетам муниципальных районов на комплектование книжных фондов библиотек муниципальных образований
</t>
  </si>
  <si>
    <t>20204000000000151</t>
  </si>
  <si>
    <t>20204025050000151</t>
  </si>
  <si>
    <t>10503000010000110</t>
  </si>
  <si>
    <t>объем привлечения средств</t>
  </si>
  <si>
    <t>объем средств, направляемых на погашение основного долга</t>
  </si>
  <si>
    <t xml:space="preserve">в том числе бюджетный кредит на пополнение остатков средств на счетах бюджетов муниципальных районов
</t>
  </si>
  <si>
    <t xml:space="preserve">
Межбюджетные трансферты, передаваемые бюджетам муниципальных районов напроведение мероприятий по подключению общедоступных библитек к сети интернет 
</t>
  </si>
  <si>
    <t>План 2015 (1 чтение)</t>
  </si>
  <si>
    <t>План 2015 (2 чтение)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</si>
  <si>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</si>
  <si>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О48</t>
  </si>
  <si>
    <t>О76</t>
  </si>
  <si>
    <t>О81</t>
  </si>
  <si>
    <t xml:space="preserve">Прочие поступления за административные правонарушения 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</si>
  <si>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</t>
  </si>
  <si>
    <t>субвенция на обеспечение государственных гарантий реализации прав на получение общедоступного и  бесплатного дошкольного образования в муниципальных дошкольных образовательных организациях</t>
  </si>
  <si>
    <t>2016</t>
  </si>
  <si>
    <t>Распределение субсидии на софинансирование заработной платы</t>
  </si>
  <si>
    <t>=D100</t>
  </si>
  <si>
    <t>=D101</t>
  </si>
  <si>
    <t xml:space="preserve"> договор от 19.12.2012г. №218</t>
  </si>
  <si>
    <t xml:space="preserve"> договор от 02.11.2012г. №02-03-13-03</t>
  </si>
  <si>
    <t xml:space="preserve"> договор от 07.11.2013г. №02-03-13-07</t>
  </si>
  <si>
    <t>2017</t>
  </si>
  <si>
    <t>Доходы бюджета МО "Володарский район" на 2015г и плановый период 2016,2017 года.</t>
  </si>
  <si>
    <t xml:space="preserve">План 2015 </t>
  </si>
  <si>
    <t xml:space="preserve">дотация на выравнивание бюджетной обеспеченности поселений </t>
  </si>
  <si>
    <t>субсидия из бюджета Астраханской области муниципальным образованиям Астраханской области на софинансирование расходов на возмещение затрат по выполнению непрофильных функций в муниципальных общеобразовательных организациях</t>
  </si>
  <si>
    <t>01 06 05 02 05 0000</t>
  </si>
  <si>
    <t>640</t>
  </si>
  <si>
    <t>безвозм</t>
  </si>
  <si>
    <t>трансферт норм</t>
  </si>
  <si>
    <t>деф</t>
  </si>
  <si>
    <t>субвенция на выполнение государтвенных полномочий по составлению списков кондидатов в присяжные заседатели</t>
  </si>
  <si>
    <t>Программные мероприятия</t>
  </si>
  <si>
    <t>дефицита бюджета МО "Володарский район" на 2015г и плановый период 2016,2017 гг.</t>
  </si>
  <si>
    <t>Возврат бюджетных кредитов</t>
  </si>
  <si>
    <t xml:space="preserve"> договор от 25.09.2014г. №02-03-13-05</t>
  </si>
  <si>
    <t>субвенция на выплату компенсации части родительской платы за присмотр и уход за детьми в муниципальных образовательных организациях и иных образовательных организациях, реализующих образовательную программу дошкольного образования</t>
  </si>
  <si>
    <t>01 00 00 00 00 0000</t>
  </si>
  <si>
    <t>01 06 05 02 00 0000</t>
  </si>
  <si>
    <t xml:space="preserve">Возврат бюджетных кредитов, предоставленных другим бюджетам бюджетной системы Российской Федерации в валюте Российской Федерации
</t>
  </si>
  <si>
    <t xml:space="preserve"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
</t>
  </si>
  <si>
    <t xml:space="preserve">Кредиты кредитных организаций в валюте Российской Федерации
</t>
  </si>
  <si>
    <t xml:space="preserve">Получение кредитов от кредитных организаций в валюте Российской Федерации
</t>
  </si>
  <si>
    <t xml:space="preserve">Получение кредитов от кредитных организаций бюджетами муниципальных районов в валюте Российской Федерации
</t>
  </si>
  <si>
    <t xml:space="preserve">
Погашение кредитов, предоставленных кредитными организациями в валюте Российской Федерации
</t>
  </si>
  <si>
    <t xml:space="preserve">Погашение бюджетами муниципальных районов кредитов от кредитных организаций в валюте Российской Федерации
</t>
  </si>
  <si>
    <t xml:space="preserve">Бюджетные кредиты от других бюджетов бюджетной системы Российской Федерации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</si>
  <si>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</si>
  <si>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
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</si>
  <si>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</si>
  <si>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01 03 01 00 00 0000 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</si>
  <si>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
жетной системы  Российской Федерации в валюте Российской  Федерации</t>
  </si>
  <si>
    <t>01 03 01 00 05 0000</t>
  </si>
  <si>
    <t xml:space="preserve">Изменение остатков средств на счетах по учету средств бюджетов
</t>
  </si>
  <si>
    <t xml:space="preserve">Увеличение прочих остатков средств бюджетов
</t>
  </si>
  <si>
    <t xml:space="preserve">Уменьшение
прочих остатков средств бюджетов
</t>
  </si>
  <si>
    <t>11625020010000140</t>
  </si>
  <si>
    <t>10102000010000000</t>
  </si>
  <si>
    <t>10100000000000000</t>
  </si>
  <si>
    <t>10102010010000110</t>
  </si>
  <si>
    <t>10102020010000110</t>
  </si>
  <si>
    <t>10102030010000110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</si>
  <si>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
</t>
  </si>
  <si>
    <t xml:space="preserve">Налог, взимаемый с налогоплательщиков, выбравших в качестве объекта налогообложения доходы
</t>
  </si>
  <si>
    <t>10501011010000110</t>
  </si>
  <si>
    <t>10501021010000110</t>
  </si>
  <si>
    <t xml:space="preserve">      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</si>
  <si>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Минимальный налог, зачисляемый в бюджеты субъектов Российской Федерации
</t>
  </si>
  <si>
    <t>10501050010000110</t>
  </si>
  <si>
    <t>10102040010000110</t>
  </si>
  <si>
    <t>10500000000000000</t>
  </si>
  <si>
    <t>10501000000000000</t>
  </si>
  <si>
    <t>10502000020000110</t>
  </si>
  <si>
    <t>10803010010000110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</si>
  <si>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</si>
  <si>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10803000010000110</t>
  </si>
  <si>
    <t>11100000000000000</t>
  </si>
  <si>
    <t xml:space="preserve">ДОХОДЫ ОТ ИСПОЛЬЗОВАНИЯ ИМУЩЕСТВА, НАХОДЯЩЕГОСЯ В ГОСУДАРСТВЕННОЙ И МУНИЦИПАЛЬНОЙ СОБСТВЕННОСТИ
</t>
  </si>
  <si>
    <t>11105000000000120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</si>
  <si>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
</t>
  </si>
  <si>
    <t>11105013100000120</t>
  </si>
  <si>
    <t>11105025050000120</t>
  </si>
  <si>
    <t>11105030000000120</t>
  </si>
  <si>
    <t>11105035050000120</t>
  </si>
  <si>
    <t>11200000000000000</t>
  </si>
  <si>
    <t>11201000010000120</t>
  </si>
  <si>
    <t xml:space="preserve">Прочие доходы от оказания платных услуг (работ) получателями средств бюджетов муниципальных районов
</t>
  </si>
  <si>
    <t>Приложение № 8</t>
  </si>
  <si>
    <t>Плата за негативное воздействие на окружающую среду</t>
  </si>
  <si>
    <t>Дотации бюджетам на поддержку мер по обеспечению сбалансированности бюджетов</t>
  </si>
  <si>
    <t>№ ___  от     .  .2011г.</t>
  </si>
  <si>
    <t>Дотации на выравнивание бюджетной обеспеченности</t>
  </si>
  <si>
    <t>РЦП "Основные мероприятия отдела образования"</t>
  </si>
  <si>
    <t>Функционирование высшего должностного лица субъектаРФ и муниципального образования</t>
  </si>
  <si>
    <t>Сельское хозяйство</t>
  </si>
  <si>
    <t>Иные дотации</t>
  </si>
  <si>
    <t>Обеспечение деятельности подведомстенных учреждений</t>
  </si>
  <si>
    <t>Другие вопросы в области культуры</t>
  </si>
  <si>
    <t>5201504</t>
  </si>
  <si>
    <t>РЦП «Обеспечение топливом Володарский район» погашение задолженности за 2011 год</t>
  </si>
  <si>
    <t>001</t>
  </si>
  <si>
    <t>Обеспечение выполнения функций государственных казенных учреждений</t>
  </si>
  <si>
    <t>Молодежная политика</t>
  </si>
  <si>
    <t>Другие вопросы в области обрузования</t>
  </si>
  <si>
    <t>РЦП "Организация оздоровления, отдыха  и занятости детей и подростков в Володарском районе на 2011-2013годы"</t>
  </si>
  <si>
    <t>7951101</t>
  </si>
  <si>
    <t>Субсидии муниципальным бюджетным учреждениям на иные цели за исключением бюджетных инвестиций</t>
  </si>
  <si>
    <t>ПРОГРАММА</t>
  </si>
  <si>
    <t>Внутренние заимствования (привлечение/погашение)</t>
  </si>
  <si>
    <t>Сумма, тыс. рублей</t>
  </si>
  <si>
    <t>Кредиты от других бюджетов бюджетной системы РФ</t>
  </si>
  <si>
    <t>Кредиты кредитных организаций в валюте Российской Федерации</t>
  </si>
  <si>
    <t>Общий объем заимствований, направляемых на покрытие дефицита бюджета и погашение долговых обязательств муниципального образования</t>
  </si>
  <si>
    <t>Сумма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</si>
  <si>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</si>
  <si>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Приложение № 12</t>
  </si>
  <si>
    <t>Приложение № 11</t>
  </si>
  <si>
    <t>Приложение № 10</t>
  </si>
  <si>
    <t>Прочие межбюджетные трансферты общего характера</t>
  </si>
  <si>
    <t>302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</si>
  <si>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</si>
  <si>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Дорожное хозяйство</t>
  </si>
  <si>
    <t>001400</t>
  </si>
  <si>
    <t>РЦП "Программа организации временной занятости безработных граждан в возрасте от 18 до 20 лет из числа выпускников начального и среднего профессионального образования, ищущих работу впервые на 2012-2014годы"</t>
  </si>
  <si>
    <t>7950803</t>
  </si>
  <si>
    <t xml:space="preserve">РЦП "Программа развития временных общественных работ в Володарском районе на 2012-2014 годы, связанных с благоустройством, уборкой, озеленением населенных пунктов территорий муниципальных образований" </t>
  </si>
  <si>
    <t>7950804</t>
  </si>
  <si>
    <t>017</t>
  </si>
  <si>
    <t>Прочие дотации</t>
  </si>
  <si>
    <t>Условно-утвержденные расходы</t>
  </si>
  <si>
    <t>99</t>
  </si>
  <si>
    <t>Всего расходов</t>
  </si>
  <si>
    <t>Субвенция на поддержку овцеводства</t>
  </si>
  <si>
    <t xml:space="preserve"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</si>
  <si>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20203007000000</t>
  </si>
  <si>
    <t>20203007050000</t>
  </si>
  <si>
    <t>Субвенции бюджетам муниципальных райнов на осуществление первичного воинского учета,на территориях где отсутствуют военные комиссариаты</t>
  </si>
  <si>
    <t>Субвенции бюджетам на осуществление первичного воинского учета,на территориях где отсутствуют военные комиссариаты</t>
  </si>
  <si>
    <t>Субвенции бюджетам на ежемесячное денежное вознаграждение за классное руководство</t>
  </si>
  <si>
    <t>20203021000000</t>
  </si>
  <si>
    <t>20203021050000</t>
  </si>
  <si>
    <t>Прочие субвенции</t>
  </si>
  <si>
    <t>20203999050000</t>
  </si>
  <si>
    <t>Иные межбюджетные трансферты</t>
  </si>
  <si>
    <t>Дошкольное образование</t>
  </si>
  <si>
    <t>Приложение № 1</t>
  </si>
  <si>
    <t>Приложение № 2</t>
  </si>
  <si>
    <t>Приложение № 3</t>
  </si>
  <si>
    <t>Приложение № 4</t>
  </si>
  <si>
    <t>Итого</t>
  </si>
  <si>
    <t>Единый сельскохозяйственный налог</t>
  </si>
  <si>
    <t>Налог на доходы физических лиц</t>
  </si>
  <si>
    <t>Единый налог на вмененный доход для отдельных видов деятельности</t>
  </si>
  <si>
    <t>Источники внутреннего финансирования</t>
  </si>
  <si>
    <t>Наименование МО</t>
  </si>
  <si>
    <t>Актюбинский с/с</t>
  </si>
  <si>
    <t>Алтынжарский с/с</t>
  </si>
  <si>
    <t>Большемогойский с/с</t>
  </si>
  <si>
    <t>п.Винный</t>
  </si>
  <si>
    <t>с.Зеленга</t>
  </si>
  <si>
    <t>Калининский с/с</t>
  </si>
  <si>
    <t>Козловский с/с</t>
  </si>
  <si>
    <t>Крутовский с/с</t>
  </si>
  <si>
    <t>Маковский с/с</t>
  </si>
  <si>
    <t>Марфинский с/с</t>
  </si>
  <si>
    <t>Мултановский с/с</t>
  </si>
  <si>
    <t>Новинский с/с</t>
  </si>
  <si>
    <t>Н-Красинский с/с</t>
  </si>
  <si>
    <t>С-Бугорский с/с</t>
  </si>
  <si>
    <t>Султановский с/с</t>
  </si>
  <si>
    <t>Тишковский с/с</t>
  </si>
  <si>
    <t>Тулугановский с/с</t>
  </si>
  <si>
    <t>ППП</t>
  </si>
  <si>
    <t>Классификатор доходов</t>
  </si>
  <si>
    <t>КОСГУ</t>
  </si>
  <si>
    <t>НАЛОГИ НА ПРИБЫЛЬ, ДОХОДЫ</t>
  </si>
  <si>
    <t>182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</si>
  <si>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</si>
  <si>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</si>
  <si>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</t>
  </si>
  <si>
    <t>10800000000000</t>
  </si>
  <si>
    <t>400</t>
  </si>
  <si>
    <t>ПЛАТЕЖИ ПРИ ПОЛЬЗОВАНИИ ПРИРОДНЫМИ РЕСУРСАМИ</t>
  </si>
  <si>
    <t>498</t>
  </si>
  <si>
    <t>7951207</t>
  </si>
  <si>
    <t>Выполнение функций ОМСУ</t>
  </si>
  <si>
    <t xml:space="preserve">МО "Володарский район" составляют средства муниципального бюджета, а также имущество, находящееся в муниципальной </t>
  </si>
  <si>
    <t>Погашение задолженности по трехстороннему соглашению за 2011 год МБУЗ "Володасркая ЦРБ"</t>
  </si>
  <si>
    <t>7950704</t>
  </si>
  <si>
    <t>РЦП «Обеспечение топливом Володарский район» погашение долга за 2011 год</t>
  </si>
  <si>
    <t>РЦП"Газификация" погашение долга за 2011 год</t>
  </si>
  <si>
    <t>7950709</t>
  </si>
  <si>
    <t>06</t>
  </si>
  <si>
    <t>11</t>
  </si>
  <si>
    <t>12</t>
  </si>
  <si>
    <t>08</t>
  </si>
  <si>
    <t>014</t>
  </si>
  <si>
    <t>081</t>
  </si>
  <si>
    <t>161</t>
  </si>
  <si>
    <t>Прочие взыскания (штрафы), зачисляемые в бюджеты мун.районов</t>
  </si>
  <si>
    <t>11690050050000</t>
  </si>
  <si>
    <t>Денежные штрафы за нарушение законодательства в сфере защиты прав потребителей</t>
  </si>
  <si>
    <t>141</t>
  </si>
  <si>
    <t>Наименование показателя</t>
  </si>
  <si>
    <t>Пенсионное обеспечение</t>
  </si>
  <si>
    <t>1. Постановление Правительства Астраханской области от 27.07.2008 №88-П "О порядке обращения за компенсацией части родительской платы за содержание ребенка в общеобразовательных организациях, реализующих основную общеобразовательную программу дошкольного образования, и ее выплаты";
 2. Решение Совета МО "Володарский район" № 68 от 27.05.2010 года "Об утверждении по ложения о порядке установления, взимания и расходования родительской платы"</t>
  </si>
  <si>
    <t>"Об утверждении положения "О муниципальной казне муниципального образования "Володарский район",… "муниципальную казну</t>
  </si>
  <si>
    <t>Распределительные сети среднего и низкого давления с. Тумак Володарского района Астраханской области</t>
  </si>
  <si>
    <t>1 321 785.05</t>
  </si>
  <si>
    <t>АФ 1130 267844 от 30.06.2011г. №4793 от 13.05.2011г.</t>
  </si>
  <si>
    <t>30АА 628666 от 01.08.2011г.</t>
  </si>
  <si>
    <t>30АА 479353 от 16.06.2010г.-320кв.м. 30 АА 479350 от 16.06.2010г.-105кв.м. 30АА479352 от 16.06.2010г.-2019кв.м. 30АА479351 от 16.06.2010г.-15кв.м. 30АА479349 от 16.06.2010г.-924кв.м.</t>
  </si>
  <si>
    <t xml:space="preserve">№ RU30502000-102a 
от 08.12.2006г./
 № RU30502000-105 от 18.07.2011г.
</t>
  </si>
  <si>
    <t>Газафикация с. Старый Алтынжар Володарского района астраханской области</t>
  </si>
  <si>
    <t>1 459 758.07</t>
  </si>
  <si>
    <t>АФ 1130 281666 от 07.06.2011г. №5061 от 21.07.2011г.</t>
  </si>
  <si>
    <t>30АА 628683 от 01.08.2011г. (собственность 525м.)</t>
  </si>
  <si>
    <t>30АА 617092 от 29.06.2011г.-812кв.м.</t>
  </si>
  <si>
    <t xml:space="preserve">№ RU30502000- 92 от 27.04.2010г./ 
№ RU30502000-313 от 31.12.2010г
</t>
  </si>
  <si>
    <t>Распределительные сети среднего и низкого давления с. Зеленга</t>
  </si>
  <si>
    <t>8 479 308.30</t>
  </si>
  <si>
    <t>№ 22-522-1 от 30.06.2011г. №3629 от 24.08.2011г.</t>
  </si>
  <si>
    <t>30АА 579152 от 24.03.2011г. (собственность 4833м)</t>
  </si>
  <si>
    <t>30АА 432081 от 19.03.2010г.-871кв.м. 30АА 432078 от 19.03.2010г.-69кв.м.30АА 432079 от 19.03.2010г.-98кв.м. 30АА 432083 от 19.03.2010г.-339кв.м. 30АА 432085 от 19.03.2010г.-943кв.м. 30АА 432082 от 19.03.2010г.-264кв.м. 30АА 432080 от 19.03.2010г.-278кв.м. 30АА 432084 от 19.03.2010г.-170кв.м.</t>
  </si>
  <si>
    <t xml:space="preserve">№ RU30502000-102 от 08.12.2010г./ 
№ RU30502000-168 от 01.11.2010г
</t>
  </si>
  <si>
    <t>Распределительные сети газоснабжения п. Плотовинка</t>
  </si>
  <si>
    <t>3 675 548.79</t>
  </si>
  <si>
    <t>АФ 1030 239128 от 30.06.2010г. №4295 от 18.01.2011г.</t>
  </si>
  <si>
    <t>30АА 568348 от 15.02.2011г. (собственность 2844м)</t>
  </si>
  <si>
    <t xml:space="preserve">30АА 43929 от 05.03.2010г.-814кв.м. 30АА 431930 от 05.03.2010г.-15кв.м.30АА 431927 от 05.03.2010г.-1504кв.м. 30АА 431926 от 05.03.2010г.-2566кв.м. 30АА 431931 от 05.03.2010г.-1111кв.м. 30АА 431925 от 05.03.2010г.-587кв.м. </t>
  </si>
  <si>
    <t xml:space="preserve">№ RU30502000-76а от 17.02.2009г./ 
№ RU30502000-63 от 05.05.2010г.
</t>
  </si>
  <si>
    <t>Расширение распределительных сетей газоснабжения микрорайона ул. Светлая п. Володарский</t>
  </si>
  <si>
    <t>2 183 342.08</t>
  </si>
  <si>
    <t>АФ 1130 281635 от 10.06.2010г. №5048 от 20.07.2011г.</t>
  </si>
  <si>
    <t>30АА 628669 от 01.08.2011г. (собственность 1432.3м)</t>
  </si>
  <si>
    <t>30АА 554283 от 30.12.2010г.-701кв.м. 30АА 554278 от 30.12.2010г.-5кв.м. 30АА 554279 от 30.12.2010г.-22кв.м. 30АА 554279 от 30.12.2010г.-407кв.м. 30АА 554277 от 30.12.2010г.-1000кв.м. 30АА 554280 от 30.12.2010г.-438кв.м. 30АА 554281 от 30.12.2010г.-2560кв.м. 30АА 554285 от 30.12.2010г.-359кв.м. 30АА 554282 от 30.12.2010г.-873кв.м.</t>
  </si>
  <si>
    <t xml:space="preserve">№ RU30502000-308 от 31.12.2008г./ 
№ RU30502000-240 от 06.10.2008г.
</t>
  </si>
  <si>
    <t>Распределительные сети газоснабжения с. Cахма</t>
  </si>
  <si>
    <t>6 907 393.32</t>
  </si>
  <si>
    <t>АФ 1030239130 от 30.06.2010г. №4296 от 18.01.2011г.</t>
  </si>
  <si>
    <t>30АА 568347 от 15.02.2011г. (собственность 5365.0м)</t>
  </si>
  <si>
    <t>30АА 479333 от 16.06.2010г.-245 кв.м. 30АА 479324 от 16.06.2010г.-298 кв.м. 30АА 479330 от 16.06.2010г.-898 кв.м. 30АА 479329 от 16.06.2010г.-1851 кв.м. 30АА 479348 от 16.06.2010г.-396 кв.м. 30АА 479347 от 16.06.2010г.-1596 кв.м. 30АА 479327 от 16.06.2010г.-933 кв.м. 30АА 479346 от 16.06.2010г.-500 кв.м. 30АА 479328 от 16.06.2010г.-315 кв.м. 30АА 479331 от 16.06.2010г.-970 кв.м. 30АА 479323 от 16.06.2010г.-775 кв.м. 30АА 479325 от 16.06.2010г.-263 кв.м.</t>
  </si>
  <si>
    <t xml:space="preserve"> № RU3050200076 б-/
№ RU30502000-31 от 11.03.2010г.
</t>
  </si>
  <si>
    <t>Газораспределение микрорайонов в с.Алтынжар</t>
  </si>
  <si>
    <t>19 267 569.10</t>
  </si>
  <si>
    <t>АФ 1130261859 от 16.03.2011г. №4176 от 19.04.2011г.</t>
  </si>
  <si>
    <t>30АА 612207 от 21.06.2011г. (собственность 1081.0м)</t>
  </si>
  <si>
    <t>30АА 479378 от 16.06.2010г.-213 кв.м. 30АА 479381 от 16.06.2010г.-1125 кв.м. 30АА 479382 от 16.06.2010г.-1642 кв.м. 30АА 479383 от 16.06.2010г.-554 кв.м. 30АА 479380 от 16.06.2010г.-84 кв.м. 30АА 479384 от 16.06.2010г.-287 кв.м.</t>
  </si>
  <si>
    <t xml:space="preserve">№ RU30502000- 240
«а»/ 
№ RU30502000-73 от 27.05.2011г.
</t>
  </si>
  <si>
    <t>субсидия из бюджета Астраханской области муниципальным образованиям Астраханской области в целях организации отдыха в палаточных лагерях</t>
  </si>
  <si>
    <t>7951206</t>
  </si>
  <si>
    <t>Иные межбюджетные трансферты бюджетам бюджетной системы</t>
  </si>
  <si>
    <t>Средства передаваемые, для компенсации дополнительных расходов,возникших в результате принятых решений ОМСУ</t>
  </si>
  <si>
    <t>2015</t>
  </si>
  <si>
    <t>План 2013</t>
  </si>
  <si>
    <t>План 2014</t>
  </si>
  <si>
    <t>Темп роста  плана 2012 года к 2011 году</t>
  </si>
  <si>
    <t xml:space="preserve">Отклонение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</si>
  <si>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</si>
  <si>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</si>
  <si>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</si>
  <si>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</si>
  <si>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Денежные штрафы за административные правонарушения </t>
  </si>
  <si>
    <t>Субсдии на проведение мероприятии в рамках  ДЦП "Комплексная модернизация  системы образования Астраханской области на 2011-2015 годы</t>
  </si>
  <si>
    <t>Cубсидия на реализацию долгосрочной отраслевой целевой программы "Организация отдыха, оздоровления и занятости детей и молодежи Астраханской области на 2013-2017 гг"</t>
  </si>
  <si>
    <t>202099905000</t>
  </si>
  <si>
    <t>Cубсидия на реализацию долгосрочной целевой программы "Развитие культуры села Астраханской области на 2013-2020 годы"</t>
  </si>
  <si>
    <t xml:space="preserve">Иные межбюджетные трансферты 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</si>
  <si>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</si>
  <si>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900</t>
  </si>
  <si>
    <t>922</t>
  </si>
  <si>
    <t xml:space="preserve">Распределение дотации на выранивание бюджетной </t>
  </si>
  <si>
    <t>ДОХОДЫ ОТ ПРОДАЖИ МАТЕРИАЛЬНЫХ И НЕМАТЕРИАЛЬНЫХ АКТИВОВ</t>
  </si>
  <si>
    <t>ШТРАФЫ, САНКЦИИ, ВОЗМЕЩЕНИЕ УЩЕРБА</t>
  </si>
  <si>
    <t>140</t>
  </si>
  <si>
    <t>Штрафы предусмотренные кодексом РФ об административных правонарушениях</t>
  </si>
  <si>
    <t>11603030010000</t>
  </si>
  <si>
    <t>Штрафы за нарушение бюджетного законодательства РФ</t>
  </si>
  <si>
    <t>11618000000000</t>
  </si>
  <si>
    <t xml:space="preserve">Составление (изменение и дополнение)
списков кандидатов в присяжные заседатели федеральных
судов общей юрисдикции в Российской Федерации
</t>
  </si>
  <si>
    <t>Штрафы за нарушение бюджетного законодательства (в части бюджетов муниц.р-нов)</t>
  </si>
  <si>
    <t>11618050050000</t>
  </si>
  <si>
    <t>Денежные штрафы за нарушение законодательства об особо охраняемых территориях</t>
  </si>
  <si>
    <t>018</t>
  </si>
  <si>
    <t>11625020010000</t>
  </si>
  <si>
    <t xml:space="preserve">Прочие субвенции бюджетам муниципальных районов (на обеспечение государственных гарантий прав граждан на получение общедоступного и бесплатного дошкольного,начального,основного общего,среднего(полного) общего образования </t>
  </si>
  <si>
    <t>Средства передаваемые из бюджета субъекта бюджетам муниципальных образований на проведение противопаводковых мероприятии</t>
  </si>
  <si>
    <t>Межбюджетные трансферты на комплектование книжных фондов</t>
  </si>
  <si>
    <t>Субвенции бюджетам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</si>
  <si>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Общегосдураственные вопросы</t>
  </si>
  <si>
    <t>Другие общегосударственные вопросы, выполнение функций государственными органами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</si>
  <si>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</si>
  <si>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Национальная оборона</t>
  </si>
  <si>
    <t>Мобилизационная и вневойсковая подготовка</t>
  </si>
  <si>
    <t>Межбюджетные трансферты бюджетам субъектов Российской Федерации и муниципальных образований общего характера</t>
  </si>
  <si>
    <t>Дотация на выравнивание бюджетной обеспеченности субъектов Российской Федерации</t>
  </si>
  <si>
    <t>Cубсидия на реализацию долгосрочной отраслевой целевой программы "Развитие дорожного хозяйства Астраханской области на 2012-2016 годы и перспективу до 2020 года"</t>
  </si>
  <si>
    <t xml:space="preserve"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</si>
  <si>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к Решению Совета</t>
  </si>
  <si>
    <t>к решению Совета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</si>
  <si>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</si>
  <si>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Функционирование законодательных (представительных) органов госудраственной власти  и представительных органов муниципальной власти </t>
  </si>
  <si>
    <t>МУНИЦИПАЛЬНАЯ КАЗНА</t>
  </si>
  <si>
    <t>На основании решения Совета муниципального образования МО "Володарский район"Астраханской области №99 от 30.09.2010 года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</si>
  <si>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</si>
  <si>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800</t>
  </si>
  <si>
    <t>810</t>
  </si>
  <si>
    <t xml:space="preserve">01 02 00 00 00 0000 </t>
  </si>
  <si>
    <t>01 02 00 00 05 0000</t>
  </si>
  <si>
    <t>700</t>
  </si>
  <si>
    <t>710</t>
  </si>
  <si>
    <t>000</t>
  </si>
  <si>
    <t>Распределение субвенции для осуществления воинского учета</t>
  </si>
  <si>
    <t xml:space="preserve">01 03 00 00 00 0000 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</si>
  <si>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</si>
  <si>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 и правоохранительной деятельности и обороны</t>
  </si>
  <si>
    <t>Наименование правовые актьы, устанавливающие публичное нормативное обязательства</t>
  </si>
  <si>
    <t>Итого собственных доходов</t>
  </si>
  <si>
    <t>Культура и кинематография</t>
  </si>
  <si>
    <t>Охрана семьи и детства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</si>
  <si>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</si>
  <si>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</si>
  <si>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</si>
  <si>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</si>
  <si>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02</t>
  </si>
  <si>
    <t>Факт за 1 полугодия 2011г.</t>
  </si>
  <si>
    <t>Задолдженность по отмененным налогам</t>
  </si>
  <si>
    <t>09</t>
  </si>
  <si>
    <t>01</t>
  </si>
  <si>
    <t>04</t>
  </si>
  <si>
    <t>07</t>
  </si>
  <si>
    <t>Отклонение</t>
  </si>
  <si>
    <t>05</t>
  </si>
  <si>
    <t>03</t>
  </si>
  <si>
    <t>13</t>
  </si>
  <si>
    <t>0980104</t>
  </si>
  <si>
    <t>Прочие межбюджтеные трансферты (МО "Тумакский сельсовет", "Тишковский сельсовет"</t>
  </si>
  <si>
    <t>Прочие межбюджетные трансферты передаваемые из бюджета субъекта бюджетам МО НА РЕАЛИЗАЦИЮ ДОПОЛНИТЕЛЬНЫХ МЕРОПРИЯТИЙ ПО СНИЖЕНИЮ НАПРЯЖЕННОСТИ НА РЫНКЕ ТРУДА</t>
  </si>
  <si>
    <t>Доходы</t>
  </si>
  <si>
    <t>7950703</t>
  </si>
  <si>
    <t>Дефицит  расчетный</t>
  </si>
  <si>
    <t>собственности и не закрепленное за муниципальными унитарными предприятиями на праве хозяйственного ведения и муниципальными</t>
  </si>
  <si>
    <t>учреждениями на праве оперативного управления"…(п.1.3)</t>
  </si>
  <si>
    <t>№ п\п</t>
  </si>
  <si>
    <t>Наименование объекта</t>
  </si>
  <si>
    <t>Адрес объекта</t>
  </si>
  <si>
    <t>Стоимость</t>
  </si>
  <si>
    <t xml:space="preserve">Инвентаризационная </t>
  </si>
  <si>
    <t>Технический паспорт</t>
  </si>
  <si>
    <t>Свидетельство о государственной регистрации права на объект</t>
  </si>
  <si>
    <t>Общая площадь\этажность здания</t>
  </si>
  <si>
    <t>Свидетельство о государственной регистрации права на земельный участок</t>
  </si>
  <si>
    <t>Общая площадь земельного участка,га</t>
  </si>
  <si>
    <t>Балансодержатель объекта</t>
  </si>
  <si>
    <t>Собственник</t>
  </si>
  <si>
    <t>Инвентарный №</t>
  </si>
  <si>
    <t>Год постройки дата постановки на учет. Основание нахождения.Разрешение на строительство, ввод в эксплуатацию</t>
  </si>
  <si>
    <t>Балансовая</t>
  </si>
  <si>
    <t>АДМИНИСТРАЦИЯ МО "ВОЛОДАРСКИЙ РАЙОН"</t>
  </si>
  <si>
    <t>Субвенции бюджетам субъектов Российской Федерации и муниципальных образований</t>
  </si>
  <si>
    <t xml:space="preserve">РЦП "Развитие туризма в Володарском районе" </t>
  </si>
  <si>
    <t>Дотации бюджетам муниципальных районов на выравнивание  бюджетной обеспеченности</t>
  </si>
  <si>
    <t>151</t>
  </si>
  <si>
    <t>Тумакский с/с</t>
  </si>
  <si>
    <t>Хуторской с/с</t>
  </si>
  <si>
    <t>Цветновский с/с</t>
  </si>
  <si>
    <t>п. Володарский</t>
  </si>
  <si>
    <t>ИТОГО поселения</t>
  </si>
  <si>
    <t>Изменение остатков средств на счетах по учету  средств бюджета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</si>
  <si>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</si>
  <si>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</si>
  <si>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 муниципальных районов</t>
  </si>
  <si>
    <t>01 05 00 00 00 0000</t>
  </si>
  <si>
    <t>01 05 02 00 00 0000</t>
  </si>
  <si>
    <t>01 05 02 01 00 0000</t>
  </si>
  <si>
    <t>01 05 02 01 05 0000</t>
  </si>
  <si>
    <t>600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</si>
  <si>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</si>
  <si>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Денежные штрафы за нарушение законодательства об охране животного мира</t>
  </si>
  <si>
    <t>11625030010000</t>
  </si>
  <si>
    <t>План 2012 первонач. прогноз</t>
  </si>
  <si>
    <t xml:space="preserve">План 2013 первонач.прогноз </t>
  </si>
  <si>
    <t>Субвенция на возмещение  сельхозтовароприйзводителям  (кроме ЛПХ И СПК части затрат на уплату % по кредитам полученных в РКО , и займах, полученным в СКПК 2007-2010г. На срок до 1 лет</t>
  </si>
  <si>
    <t>Субвенция на поддержку северного оленеводства и табунного коневодства</t>
  </si>
  <si>
    <t>Субвенция на возмещение  сельхозтовароприйзводителям  (кроме ЛПХ И СПК части затрат на уплату % по кредитам полученных в РКО , и займах, полученным в СКПК 2007-2010г. На срок  от 2 до 10 лет</t>
  </si>
  <si>
    <t>Субвенция на возмещение  сельхозтовароприйзводителям  (кроме ЛПХ И СПК части затрат на уплату % по кредитам полученных в РКО , и займах, полученным в СКПК 2007-2010г. На срок   до 8 лет</t>
  </si>
  <si>
    <t>Субвенция на приобретение средств химизации</t>
  </si>
  <si>
    <t>5210300</t>
  </si>
  <si>
    <t>5201500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</si>
  <si>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</si>
  <si>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Дотации бюджетам субъектов Российской Федерации и муниципальных образований</t>
  </si>
  <si>
    <t xml:space="preserve"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 образования, а также дополнительного образования в общеобразовательных учреждениях </t>
  </si>
  <si>
    <t>Субвенции на исполнение расходных обязательств муниципальных образований Астраханской области по образованию и обеспечению деятельности административных комиссий</t>
  </si>
  <si>
    <t>Субвенции предоставляемая местным бюджетам из бюджета Астраханской области для осуществления отдельных государственных полномочий по поддержке сельскохозяйственного производства</t>
  </si>
  <si>
    <t>Субвенция предоставляемая местным бюджетам из бюджета Астраханской области для осуществления органами местного самоуправления муниципальных образований Астраханской области государственных полномочий по образованию и организации деятельности комиссий по делам несовершеннолетних и защите их прав</t>
  </si>
  <si>
    <t>Прочие субсидии</t>
  </si>
  <si>
    <t>Государственная пошлина по делам, рассматриваемым в судах общей юрисдикции, мировыми судьями</t>
  </si>
  <si>
    <t>Наименование кредитора,номер,дата кредитного договора  (соглашения)</t>
  </si>
  <si>
    <t>ОАО ВКАБАНК г.Астрахань</t>
  </si>
  <si>
    <t>Кредитный договор от 22.03.2011г. №45</t>
  </si>
  <si>
    <t>Министерство финансов Астраханской области</t>
  </si>
  <si>
    <t>Налоговые доходы</t>
  </si>
  <si>
    <t>Безвозмездные</t>
  </si>
  <si>
    <t>Норматив</t>
  </si>
  <si>
    <t>Дефицит</t>
  </si>
  <si>
    <t>Итого доходов</t>
  </si>
  <si>
    <t>Код по КИВФ</t>
  </si>
  <si>
    <t xml:space="preserve"> </t>
  </si>
  <si>
    <t>ИСТОЧНИКИ ВНУТРЕННЕГО ФИНАНСИРОВАНИЯ ДЕФИЦИТОВ БЮДЖЕТОВ</t>
  </si>
  <si>
    <t>Уменьшение прочих остатков средств бюджетов</t>
  </si>
  <si>
    <t>510</t>
  </si>
  <si>
    <t>610</t>
  </si>
  <si>
    <t>5</t>
  </si>
  <si>
    <t>Первоначальный план 2011</t>
  </si>
  <si>
    <t>КБК</t>
  </si>
  <si>
    <t>Код</t>
  </si>
  <si>
    <t>раздела</t>
  </si>
  <si>
    <t>подраздела</t>
  </si>
  <si>
    <t>целевой статьи</t>
  </si>
  <si>
    <t>вида расхо-дов</t>
  </si>
  <si>
    <t>2</t>
  </si>
  <si>
    <t>3</t>
  </si>
  <si>
    <t>4</t>
  </si>
  <si>
    <t>6</t>
  </si>
  <si>
    <t>500</t>
  </si>
  <si>
    <t>10</t>
  </si>
  <si>
    <t>7951102</t>
  </si>
  <si>
    <t>2026700</t>
  </si>
  <si>
    <t>7950812</t>
  </si>
  <si>
    <t>14</t>
  </si>
  <si>
    <t>301</t>
  </si>
  <si>
    <t>Вложение в уставной фонд</t>
  </si>
  <si>
    <t>ДОХОДЫ ОТ ОКАЗАНИЯ ПЛАТНЫХ УСЛУГ И КОМПЕНСАЦИИ ЗАТРАТ ГОСУДАРСТВА</t>
  </si>
  <si>
    <t>№п/п</t>
  </si>
  <si>
    <t xml:space="preserve">Уточненный прогноз на 2011 год 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</si>
  <si>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</si>
  <si>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ежемесячное денежное вознаграждение за классное руководство</t>
  </si>
  <si>
    <t>Переодическая печать</t>
  </si>
  <si>
    <t>2020299905000</t>
  </si>
  <si>
    <t>Приложение № 7</t>
  </si>
  <si>
    <t>Наименование публичнх нормативных обязательств</t>
  </si>
  <si>
    <t>к постановлению главы</t>
  </si>
  <si>
    <t>МО "Володарский район"</t>
  </si>
  <si>
    <t>Астраханской области</t>
  </si>
  <si>
    <t>№ п/п</t>
  </si>
  <si>
    <t>Приложение № 5</t>
  </si>
  <si>
    <t>Приложение № 9</t>
  </si>
  <si>
    <t>к постановлению Главы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</si>
  <si>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</si>
  <si>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</si>
  <si>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</si>
  <si>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</si>
  <si>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</si>
  <si>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главного распорядителя средств</t>
  </si>
  <si>
    <t>Общее образование</t>
  </si>
  <si>
    <t xml:space="preserve">Невыясненные поступления </t>
  </si>
  <si>
    <t>300</t>
  </si>
  <si>
    <t>Обслуживание государственного и муниципального долга</t>
  </si>
  <si>
    <t>Резервные фонды</t>
  </si>
  <si>
    <t>Органы внутренних дел</t>
  </si>
  <si>
    <t>Другие вопросы в области национальной экономики</t>
  </si>
  <si>
    <t>Другие вопросы в области жилищно-коммунального хозяйства</t>
  </si>
  <si>
    <t>Культура</t>
  </si>
  <si>
    <t>Социальное обеспечение населения</t>
  </si>
  <si>
    <t>Наименование программы(подпрограммы)</t>
  </si>
  <si>
    <t>Объем финансирования (в тыс.руб.)</t>
  </si>
  <si>
    <t>Источники финансирования</t>
  </si>
  <si>
    <t>2015 год</t>
  </si>
  <si>
    <t>2016 год</t>
  </si>
  <si>
    <t>2017 год</t>
  </si>
  <si>
    <t>1</t>
  </si>
  <si>
    <t>МЦП "Муниципальное управление на территории МО "Володарский район"</t>
  </si>
  <si>
    <t>Районный бюджет</t>
  </si>
  <si>
    <t>Средства АО</t>
  </si>
  <si>
    <t>подпрограмма " Организация муниципального управления"</t>
  </si>
  <si>
    <t>подпрограмма "Управление муниципальными финансами "</t>
  </si>
  <si>
    <t>подпрограмма "Управление муниципальным имуществом"</t>
  </si>
  <si>
    <t>МЦП "Проведение выборов Главы Володарского района на 2015 год"</t>
  </si>
  <si>
    <t>МЦП "Подготовка и проведение празднования 70-й годовщины Победы в ВОВ"</t>
  </si>
  <si>
    <t>МЦП "Свой дом для молодой семьи"</t>
  </si>
  <si>
    <t>МЦП "Проведение мероприятий по эпидимологического благополучия на территории МО "Володарский район"</t>
  </si>
  <si>
    <t>Управление сельского, рыбного хозяйства и перерабатывающей промышленности</t>
  </si>
  <si>
    <t xml:space="preserve">обеспечение санитарно-эпидемилогического благополучия населения </t>
  </si>
  <si>
    <t>МЦП "Муниципальное хозяйство"</t>
  </si>
  <si>
    <t xml:space="preserve"> подпрограмма "Развитие дорожного хозяйства"</t>
  </si>
  <si>
    <t>подпрограмма" Территориальное развитие"</t>
  </si>
  <si>
    <t>подпрограмма "Комплексное развитие коммунальной инфраструктуры"</t>
  </si>
  <si>
    <t>подпрограмма "Подготовка к отопительному сезону"</t>
  </si>
  <si>
    <t>7</t>
  </si>
  <si>
    <t>МЦП Переселение граждан из аварийного жилищного фонда</t>
  </si>
  <si>
    <t>8</t>
  </si>
  <si>
    <t>МЦП "Создание условий для устойчивого экономического развития на территории МО "Володарский район"</t>
  </si>
  <si>
    <t>подпрограмма "Создание условий для развития предпринимательства"</t>
  </si>
  <si>
    <t>подпрограмма" Создание условий для привлечения инвестиций"</t>
  </si>
  <si>
    <t>9</t>
  </si>
  <si>
    <t>МЦП "Социальная поддержка старшего поколения, ветеранов и инвалидов и иных категорий граждан"</t>
  </si>
  <si>
    <t>МЦП "Развитие культуры, молодежи и туризма на территории Володарского района"</t>
  </si>
  <si>
    <t>подпрограмма "Дополнительное образование, воспитание детей"</t>
  </si>
  <si>
    <t xml:space="preserve"> подпрограмма "Организация досуга и предоставление услуг учреждениями культуры"</t>
  </si>
  <si>
    <t xml:space="preserve"> подпрограмма Модернизация и укрепление материально-технической базы</t>
  </si>
  <si>
    <t>подпрограма "Библиотечное обслуживание"</t>
  </si>
  <si>
    <t>МЦП "Развитие средств массовой информации на территории Володарского района</t>
  </si>
  <si>
    <t xml:space="preserve">МЦП "Межбюджетные трансферты муниципальным образованиям Володарского района" </t>
  </si>
  <si>
    <t xml:space="preserve">Выравнивание бюджетной обеспечености поселений Володарского района </t>
  </si>
  <si>
    <t>МЦП "Развитие массовой физической культуры и спорта в Володарском районе"</t>
  </si>
  <si>
    <t>подпрограмма "Обеспечение функций учреждений физической культуры и спорта в Володарском районе2</t>
  </si>
  <si>
    <t>подпрограмма Создание условий для развития муниципальной программы</t>
  </si>
  <si>
    <t>подпрограмма "Расширение сети учреждений физической культуры и спорта на территории Володарского района"</t>
  </si>
  <si>
    <t xml:space="preserve"> подпрограмма "Организация проведения физкультурных и комплексных мероприятий"</t>
  </si>
  <si>
    <t>МЦП "Развитие системы образования Володарского района"</t>
  </si>
  <si>
    <t xml:space="preserve"> подпрограмма Совершенствование структуры и содержание дошкольного образования</t>
  </si>
  <si>
    <t>подпрограмма Совершенствование структуры и содержание общего образования</t>
  </si>
  <si>
    <t xml:space="preserve"> подпрограмма "Развитие системы воспитания и дополнительного образования"</t>
  </si>
  <si>
    <t>подпрограмма "Повышение качества ресурсного обеспечения муниципальной системы образования"</t>
  </si>
  <si>
    <t>МЦП "Развитие агропромышленного комплекса на территории МО "Володарский район"</t>
  </si>
  <si>
    <t>Подпрограмма" Создание условий для реализации МП "</t>
  </si>
  <si>
    <t>Подпрограмма "Защита растений сельскохозяйственных культур и химизации сельского хозяйства Володарского района"</t>
  </si>
  <si>
    <t>Подпрограмма "Основные мероприятия управления сельского, рыбного хозяйства и перерабатывающей промышленности администрации МО "Володарский район"</t>
  </si>
  <si>
    <t>Подпрограмма "Оказание государственной поддержки по развитию сельскохозяйственного производства в Володарском районе"</t>
  </si>
  <si>
    <t>МЦП "Безопасность на территории МО "Володарский район"</t>
  </si>
  <si>
    <t>Подпрограмма "Предупреждение ликвидации последствий ЧС реализации мер пожарной безопасности на территории МО "Володарский район"</t>
  </si>
  <si>
    <t>Подпрограмма "Профилактика правонарушений и усиление борьбы с преступностью на территории МО "Володарский район"</t>
  </si>
  <si>
    <t>Подпрограмма "Комплексные меры противодействия злоупотребления наркотиков и их незаконному обороту на территории МО "Володарский район"</t>
  </si>
  <si>
    <t>Подпрограмма "Профилактика экстримизма и терроризма МО "Володарский район"</t>
  </si>
  <si>
    <t>Подпрограмма "Противодействие коррупции МО "Володарский район"</t>
  </si>
  <si>
    <t>МЦП "Энергосбережение и энергетической эффективности"</t>
  </si>
  <si>
    <t>Бюджет АО</t>
  </si>
  <si>
    <t>Код целевой статьи</t>
  </si>
  <si>
    <t>10 0 1000</t>
  </si>
  <si>
    <t>10 1 1001</t>
  </si>
  <si>
    <t>10 2 1002</t>
  </si>
  <si>
    <t>10 3 1003</t>
  </si>
  <si>
    <t>13 0 1300</t>
  </si>
  <si>
    <t>14 0 1400</t>
  </si>
  <si>
    <t>15 0 1500</t>
  </si>
  <si>
    <t>08 0 0800</t>
  </si>
  <si>
    <t>08 1 0801</t>
  </si>
  <si>
    <t>08 3 0803</t>
  </si>
  <si>
    <t>08 2 0802</t>
  </si>
  <si>
    <t>08 4 0804</t>
  </si>
  <si>
    <t>12 0 1200</t>
  </si>
  <si>
    <t>05 0 0500</t>
  </si>
  <si>
    <t>05 1 0501</t>
  </si>
  <si>
    <t>05 2 0502</t>
  </si>
  <si>
    <t>03 0 0300</t>
  </si>
  <si>
    <t>03 2 0302</t>
  </si>
  <si>
    <t>03 3 0303</t>
  </si>
  <si>
    <t>03 1 0301</t>
  </si>
  <si>
    <t>03 4 0304</t>
  </si>
  <si>
    <t>11 0 1100</t>
  </si>
  <si>
    <t>02 0 0200</t>
  </si>
  <si>
    <t>02 1 0201</t>
  </si>
  <si>
    <t>02 2 0202</t>
  </si>
  <si>
    <t>02 4 0204</t>
  </si>
  <si>
    <t>02 3 0203</t>
  </si>
  <si>
    <t>01 0 0100</t>
  </si>
  <si>
    <t>01 1 0101</t>
  </si>
  <si>
    <t>01 2 0102</t>
  </si>
  <si>
    <t>01 3 0103</t>
  </si>
  <si>
    <t>01 7 0107</t>
  </si>
  <si>
    <t>06 0 0600</t>
  </si>
  <si>
    <t>06 2 0602</t>
  </si>
  <si>
    <t>06 4 0604</t>
  </si>
  <si>
    <t>06 3 0603</t>
  </si>
  <si>
    <t>07 0 0700</t>
  </si>
  <si>
    <t>07 4 0704</t>
  </si>
  <si>
    <t>07 5 0705</t>
  </si>
  <si>
    <t>09 0 0900</t>
  </si>
  <si>
    <t>07 1 0701</t>
  </si>
  <si>
    <t>07 3 0703</t>
  </si>
  <si>
    <t>04 0 0400</t>
  </si>
  <si>
    <t>16 0 1600</t>
  </si>
  <si>
    <t>17 0 1700</t>
  </si>
  <si>
    <t>адм</t>
  </si>
  <si>
    <t>РЗиПР</t>
  </si>
  <si>
    <t>Вид расходов</t>
  </si>
  <si>
    <t>0102</t>
  </si>
  <si>
    <t>121</t>
  </si>
  <si>
    <t>211</t>
  </si>
  <si>
    <t>213</t>
  </si>
  <si>
    <t>0113</t>
  </si>
  <si>
    <t>244</t>
  </si>
  <si>
    <t>221</t>
  </si>
  <si>
    <t>222</t>
  </si>
  <si>
    <t>223</t>
  </si>
  <si>
    <t>224</t>
  </si>
  <si>
    <t>225</t>
  </si>
  <si>
    <t>226</t>
  </si>
  <si>
    <t>290</t>
  </si>
  <si>
    <t>310</t>
  </si>
  <si>
    <t>340</t>
  </si>
  <si>
    <t>21Б6012</t>
  </si>
  <si>
    <t>21Б6013</t>
  </si>
  <si>
    <t>0103</t>
  </si>
  <si>
    <t>10 1 1002</t>
  </si>
  <si>
    <t>10 1 1003</t>
  </si>
  <si>
    <t>10 1 1004</t>
  </si>
  <si>
    <t>10 1 1005</t>
  </si>
  <si>
    <t>10 1 1006</t>
  </si>
  <si>
    <t>0106</t>
  </si>
  <si>
    <t>10 1 1007</t>
  </si>
  <si>
    <t>10 1 1008</t>
  </si>
  <si>
    <t>212</t>
  </si>
  <si>
    <t>122</t>
  </si>
  <si>
    <t>Содержание главы</t>
  </si>
  <si>
    <t>ФОТ АМО</t>
  </si>
  <si>
    <t>Расходы АМО</t>
  </si>
  <si>
    <t>ФОТ Совета МО</t>
  </si>
  <si>
    <t>Расходы Совета МО</t>
  </si>
  <si>
    <t>Зарплата депутатам</t>
  </si>
  <si>
    <t>ФОТ КСП</t>
  </si>
  <si>
    <t>Затраты КСП</t>
  </si>
  <si>
    <t>Расходы на административную комиссию</t>
  </si>
  <si>
    <t>Расходы на комиссию по делам несовершеннолетних</t>
  </si>
  <si>
    <t>ФОТ ФЭУ</t>
  </si>
  <si>
    <t>10 2 1000</t>
  </si>
  <si>
    <t>10 2 1001</t>
  </si>
  <si>
    <t xml:space="preserve">300 </t>
  </si>
  <si>
    <t>112</t>
  </si>
  <si>
    <t>Расходы ФЭУ</t>
  </si>
  <si>
    <t>10 2 1003</t>
  </si>
  <si>
    <t>321</t>
  </si>
  <si>
    <t>262</t>
  </si>
  <si>
    <t>Резервный фонд</t>
  </si>
  <si>
    <t>10 2 1004</t>
  </si>
  <si>
    <t>720</t>
  </si>
  <si>
    <t>231</t>
  </si>
  <si>
    <t>Обслуживание муниципального долга</t>
  </si>
  <si>
    <t>0111</t>
  </si>
  <si>
    <t>1301</t>
  </si>
  <si>
    <t>0203</t>
  </si>
  <si>
    <t>21 Б 5118</t>
  </si>
  <si>
    <t>540</t>
  </si>
  <si>
    <t>251</t>
  </si>
  <si>
    <t>ВУС</t>
  </si>
  <si>
    <t>1401</t>
  </si>
  <si>
    <t>01 Б 6006</t>
  </si>
  <si>
    <t>Дотация поселениям</t>
  </si>
  <si>
    <t>1001</t>
  </si>
  <si>
    <t>10 2 1005</t>
  </si>
  <si>
    <t>263</t>
  </si>
  <si>
    <t>Муниципальные пенсионеры</t>
  </si>
  <si>
    <t>10 3 1001</t>
  </si>
  <si>
    <t>ФОТ КИЗО</t>
  </si>
  <si>
    <t>10 3 1002</t>
  </si>
  <si>
    <t>Расходы КИЗО</t>
  </si>
  <si>
    <t>0107</t>
  </si>
  <si>
    <t>1003</t>
  </si>
  <si>
    <t>0405</t>
  </si>
  <si>
    <t>0409</t>
  </si>
  <si>
    <t xml:space="preserve"> подпрограмма "Развитие дорожного хозяйства" района</t>
  </si>
  <si>
    <t>04 2 6017</t>
  </si>
  <si>
    <t>0412</t>
  </si>
  <si>
    <t>0505</t>
  </si>
  <si>
    <t>0501</t>
  </si>
  <si>
    <t>630</t>
  </si>
  <si>
    <t>242</t>
  </si>
  <si>
    <t>0702</t>
  </si>
  <si>
    <t>611</t>
  </si>
  <si>
    <t>241</t>
  </si>
  <si>
    <t>0801</t>
  </si>
  <si>
    <t>612</t>
  </si>
  <si>
    <t>1202</t>
  </si>
  <si>
    <t>621</t>
  </si>
  <si>
    <t>511</t>
  </si>
  <si>
    <t>1101</t>
  </si>
  <si>
    <t>1105</t>
  </si>
  <si>
    <t>0701</t>
  </si>
  <si>
    <t>02 Б 6015</t>
  </si>
  <si>
    <t>01 2 0101</t>
  </si>
  <si>
    <t>Расходы на выполнение МЗ</t>
  </si>
  <si>
    <t>02 Б 6014</t>
  </si>
  <si>
    <t>02 Б 6022</t>
  </si>
  <si>
    <t>02 Б 6024</t>
  </si>
  <si>
    <t>1004</t>
  </si>
  <si>
    <t>313</t>
  </si>
  <si>
    <t>02 Б 6026</t>
  </si>
  <si>
    <t>111</t>
  </si>
  <si>
    <t>01 2 0103</t>
  </si>
  <si>
    <t>01 2 0104</t>
  </si>
  <si>
    <t>Питание местное</t>
  </si>
  <si>
    <t>Расходы с род платы</t>
  </si>
  <si>
    <t>Расходы на ФОТ по казенным учреждениям</t>
  </si>
  <si>
    <t>Расходы на казенные учреждения</t>
  </si>
  <si>
    <t>Субвенция на общеобраз проц бюджетные учреждения</t>
  </si>
  <si>
    <t>Субвенция на общеобраз проц казенные учреждения</t>
  </si>
  <si>
    <t>Субвенция МОП бюджетные</t>
  </si>
  <si>
    <t>Субвенция МОП казенные</t>
  </si>
  <si>
    <t>Компенсация части род платы бюджетные</t>
  </si>
  <si>
    <t>Компенсация части род платы казенные</t>
  </si>
  <si>
    <t>Питание областное бюджетные</t>
  </si>
  <si>
    <t>Питание областное казенные</t>
  </si>
  <si>
    <t>06 1 0602</t>
  </si>
  <si>
    <t xml:space="preserve">302 </t>
  </si>
  <si>
    <t>06 Б 5039</t>
  </si>
  <si>
    <t>06 Б 5048</t>
  </si>
  <si>
    <t>06 Б 5055</t>
  </si>
  <si>
    <t>06 Б 5031</t>
  </si>
  <si>
    <t>06 Б 5045</t>
  </si>
  <si>
    <t>06 Б 5050</t>
  </si>
  <si>
    <t>06 Б 5053</t>
  </si>
  <si>
    <t>06 Б 5041</t>
  </si>
  <si>
    <t>05 Б 6004</t>
  </si>
  <si>
    <t>0309</t>
  </si>
  <si>
    <t>07 2 0702</t>
  </si>
  <si>
    <t>Приложение № 6</t>
  </si>
  <si>
    <t>Ведомственная стурктура расходов бюджета Володарского района на 2015 г и плановый период 2016, 2017 гг.</t>
  </si>
  <si>
    <t>Код МЦП</t>
  </si>
  <si>
    <t>Код подпрограммы МЦП</t>
  </si>
  <si>
    <t xml:space="preserve">Код направления расходов </t>
  </si>
  <si>
    <t>Администрация  муниципального образования "Володарский район"</t>
  </si>
  <si>
    <t>Муниципальная программа "Муниципальное управление МО "Володарский район" на 2015-2017 годы"</t>
  </si>
  <si>
    <t>0</t>
  </si>
  <si>
    <t>Подпрограмма "Организация муниципального управления"  муниципальной целевой программы "Муниципальное управление МО "Володарский район" на 2015-2017 годы"</t>
  </si>
  <si>
    <t>Функционирование высшего должностного лица</t>
  </si>
  <si>
    <t>100</t>
  </si>
  <si>
    <t>Заработная плата</t>
  </si>
  <si>
    <t>Начисления на оплату труда</t>
  </si>
  <si>
    <t>Прочие выплаты</t>
  </si>
  <si>
    <t>Закупка товаров, работ и услуг для государственных (муниципальных) нужд</t>
  </si>
  <si>
    <t>200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</si>
  <si>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</si>
  <si>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</si>
  <si>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</si>
  <si>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</si>
  <si>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 xml:space="preserve">Работы, услуги по содержанию имущества </t>
  </si>
  <si>
    <t xml:space="preserve">Прочие работы, услуги 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</si>
  <si>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</si>
  <si>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</si>
  <si>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</si>
  <si>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Субвенция на исполнение расходных обязательств муниципальных образований АО по образованию и обеспечению деятельности административной комиссии</t>
  </si>
  <si>
    <t>Б</t>
  </si>
  <si>
    <t>Субвенция на исполнение расходных обязательств муниципальных образований АО по образованию и организации деятельности  комиссии по делам несовершеннолетних и защите их прав</t>
  </si>
  <si>
    <t>Муниципальная программа "Проведение выборов Главы района"</t>
  </si>
  <si>
    <t>Муниципальная программа "Основные мероприятия посвященные празднованию 70-летие Великой Победы"</t>
  </si>
  <si>
    <t>Муниципальная программа "Безопасность на территории МО "Володарский район"</t>
  </si>
  <si>
    <t>Подпрограмма "Профилактика правонарушений и усилений борьбы с преступнотью на территории МО "Володарский район"</t>
  </si>
  <si>
    <t>Подпрограмма "Профилактика экстремизма и терроризма МО "Володарский район"</t>
  </si>
  <si>
    <t xml:space="preserve">Муниципальная программа "Проведение мероприятий по эпидемологического благополучия на территории МО "Володарский район" </t>
  </si>
  <si>
    <t>Муниципальная программа "Свой дом для молодой семьи"</t>
  </si>
  <si>
    <t>Совет муниципального образования "Володарский район"</t>
  </si>
  <si>
    <t>Муниципальная целевая программа "Муниципальное управление МО "Володарский район" на 2015-2017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</si>
  <si>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</si>
  <si>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Выплаты депутатам Совета МО</t>
  </si>
  <si>
    <t xml:space="preserve">Подпрограмма "Управление муниципальными финансами в МО "Володарский район" </t>
  </si>
  <si>
    <t>Комитет земельных отношений, архитектуры и обеспечения жизнедеятельности администрации муниципального образования "Володарский район"</t>
  </si>
  <si>
    <t>Подпрограмма "Управление муниципальным имуществом" муниципальной целевой программы "Муниципальное управление МО "Володарский район" на 2015-2017 годы"</t>
  </si>
  <si>
    <t>Муниципальначя программа  "Муниципальное хозяйство"</t>
  </si>
  <si>
    <t>Подпрограмма "Содержание и развитие коммунальной инфраструктуры"</t>
  </si>
  <si>
    <t>Муниципальная программа  "Переселение граждан из аварийного жилищного фонда"</t>
  </si>
  <si>
    <t>ФЭУ администрации  муниципального образования "Володарский район"</t>
  </si>
  <si>
    <t xml:space="preserve">Обслуживание государственного и  муниципального долга </t>
  </si>
  <si>
    <t>00</t>
  </si>
  <si>
    <t xml:space="preserve">Обслуживание муниципального долга </t>
  </si>
  <si>
    <t>Муниципальная программа "Создание условия для устойчивого экономического развития на территории МО "Володарский район"</t>
  </si>
  <si>
    <t xml:space="preserve">Подпрограмма "Создание условий для развития предпринимательства" </t>
  </si>
  <si>
    <t>Подпрограмма "Создание благоприятных условий для привлечений инвестиций"</t>
  </si>
  <si>
    <t>Муниципальная программа "Социальная поддержка населения"</t>
  </si>
  <si>
    <t>Подпрограмма "Социальная поддержка старшего поколения, ветеранов и инвалидов, иных категорий граждан" ("Милосердиее")</t>
  </si>
  <si>
    <t>Муниципальная программа "Развитие культуры, молодежи и туризма на территории Володарского район"</t>
  </si>
  <si>
    <t>Подпрограмма "Дополнительное образование и воспитание детей  Володарского района"</t>
  </si>
  <si>
    <t>Предоставление субсидий бюджетным, автономным учреждениям и иным некоммерческим организациям</t>
  </si>
  <si>
    <t>Субсидия на реализацию мероприятий подпрограммы "Дополнительное образование и воспитание детей  Володарского района"</t>
  </si>
  <si>
    <t>Подпрограмма "Организация досуга и предоставление услуг учреждениями Культуры"</t>
  </si>
  <si>
    <t>Подпрограмма " Организация досуга и предоставлени услуг организаций культуры "</t>
  </si>
  <si>
    <t>Субсидия на реализацию мероприятий подпрограммы  "Организация досуга и предоставление услуг учреждениями Культуры"</t>
  </si>
  <si>
    <t>Межбюджетные трансферты</t>
  </si>
  <si>
    <t>Субсидия на реализацию мероприятий подпрограммы  "Организация досуга и предоставление услуг учреждениями Культуры" (проведение мероприятий)</t>
  </si>
  <si>
    <t>Субсидия на реализацию мероприятий подпрограммы "Развитие культуры села Астраханской области" ГП "Развитие культуры и сохранение культурного наследия Астраханской области"</t>
  </si>
  <si>
    <t>Подпрограмма "Библиотечное обслуживание населения"</t>
  </si>
  <si>
    <t>Субсидия на реализацию мероприятий подпрограммы  "Библиотечное обслуживание населения"</t>
  </si>
  <si>
    <t xml:space="preserve">Комплектование книжных фондов библитек </t>
  </si>
  <si>
    <t xml:space="preserve">Субсидия на реализацию мероприятий по  комплектованию книжных фондов библитек </t>
  </si>
  <si>
    <t>Подключение общественных библиотек к сети Интернет</t>
  </si>
  <si>
    <t>Субсидия на подключение общественных библиотек к сети Интернет</t>
  </si>
  <si>
    <t>Муниципальная программа  "Модернизация и укрепление материально-технической базы учреждений"</t>
  </si>
  <si>
    <t>Субсидия на реализацию мероприятий подпрограммы  "Модернизация и укрепление материально-технической базы учреждений"</t>
  </si>
  <si>
    <t>Подпрограмма "Библиотечное обслуживание населения Володарского района"</t>
  </si>
  <si>
    <t>Муниципальная программа "Развитие средств массовой информацмм на территории  Володарского  района  на 2015-2017 годы"</t>
  </si>
  <si>
    <t>Субсидия на реализацию мероприятий МП "Развитие средств массовой информацмм на территории  Володарского  района  на 2015-2017 годы"</t>
  </si>
  <si>
    <t xml:space="preserve">Мобилизационная и вневоинская подготовка </t>
  </si>
  <si>
    <t>Перечисления другим бюджетам бюджетной системы РФ</t>
  </si>
  <si>
    <t>Муниципальная программа "Развитие средств массово й информации на территории Володарского района"</t>
  </si>
  <si>
    <t>Подпрограмма "Создание условий для развития физической культуры и спорта"</t>
  </si>
  <si>
    <t>Реализация мероприятий в рамках комплексной целевой программы "Социальное развиие сел Астраханской области до 2012г."</t>
  </si>
  <si>
    <t>1001100</t>
  </si>
  <si>
    <t>099</t>
  </si>
  <si>
    <t>5225010</t>
  </si>
  <si>
    <t>Подпрограмма "Обеспечений функций учреждения физической культуры и спорта в Володарском районе"</t>
  </si>
  <si>
    <t>Субсидия на реализаций мероприятий подпрограммы "Обеспечений функций учреждения физической культуры и спорта в Володарском районе"</t>
  </si>
  <si>
    <t>Молодежная политика и оздоровление</t>
  </si>
  <si>
    <t xml:space="preserve">Муниципальная целевая программа МП "Развитие системы образования Володарского района" </t>
  </si>
  <si>
    <t>Подпрограмма "Развитие общего образования"</t>
  </si>
  <si>
    <t>Подпрограмма "Совершенствование структуры и содержание дошкольного образования"</t>
  </si>
  <si>
    <t>Субсидия на реализаций мероприятий подпрограммы  "Совершенствование структуры и содержание дошкольного образования"</t>
  </si>
  <si>
    <t>Иные субсидии на организацию образовательного процесса в дошкольных образовательных организациях</t>
  </si>
  <si>
    <t>Субвенция МОП</t>
  </si>
  <si>
    <t>Социальная помощь населению</t>
  </si>
  <si>
    <t>Организация школьного питания (бюджет АО)</t>
  </si>
  <si>
    <t>Организация школьного питания (бюджет МР)</t>
  </si>
  <si>
    <t xml:space="preserve">Подпрограмма "Совершенствование структуры и содержание общего образования" </t>
  </si>
  <si>
    <t xml:space="preserve">Субсидия на реализаций мероприятий подпрограммы "Совершенствование структуры и содержание общего образования" </t>
  </si>
  <si>
    <t xml:space="preserve">Субсидия на иные цели (организация образовательного процесса) </t>
  </si>
  <si>
    <t>Субсидия на иные цели (содержание МОП)</t>
  </si>
  <si>
    <t>Субсидия на иные цели ( компенсацию части родительской платы)</t>
  </si>
  <si>
    <t>Субсидия на иные цели (Организация школьного питания)</t>
  </si>
  <si>
    <t>Подпрограмма "Развитие системы воспитания и дополнительного образования"</t>
  </si>
  <si>
    <t>Субсидия на реализаций мероприятий подпрограммы "Развитие системы воспитания и дополнительного образования"</t>
  </si>
  <si>
    <t>Подпрограмма "Повышение качества ресурсного обеспечивания муниципальной системы образования"</t>
  </si>
  <si>
    <t>Муниципальная программа "Развитие агропромышленноо комплекса"</t>
  </si>
  <si>
    <t>Подпрограмма "Создание условий реализации муниципальной программы"</t>
  </si>
  <si>
    <t>Подпрограмма "Защита растений сельскохозяйственных культур и химизация сельского хозяйства Володарского района"</t>
  </si>
  <si>
    <t>Подпрограмма "Основные мероприятия управления сельского, рыбного хозяйства и перерабатывающей промышленности МО "Володарский район"</t>
  </si>
  <si>
    <t xml:space="preserve">Подпрограмма "Оказание государственной поддержки по развитию сельскохозяйственного производства в Володарском районе" </t>
  </si>
  <si>
    <t>Субсидия на возмещение части процентной ставки по инвестиционным кредитам (займам) на развитие растениводства, переработки  и развития инфраструктуры и логистического обеспечения рынков продукции растениводствав рамках ведомственной целевой программы "оказание государственной поддержки по развитию сельскохозяйственного производства в Астраханской обалсти" государтвенной программы "Развитие агропромышленного комплекса Астраханской области"</t>
  </si>
  <si>
    <t>Иные бюджетные ассигнования</t>
  </si>
  <si>
    <t>Субсидия на возмещение части процентной ставки по инвестиционным кредитам (займам) на развитие животноводства,, переработки  и развития инфраструктуры и логистического обеспечения рынков продукции животноводствав рамках ведомственной целевой программы "оказание государственной поддержки по развитию сельскохозяйственного производства в Астраханской обалсти" государтвенной программы "Развитие агропромышленного комплекса Астраханской области"</t>
  </si>
  <si>
    <t>Субсидиия на возмещение части процентной ставки по долгосрочным, среднесрочным и краткосрочным кредитам, взятым малыми формами хозяйствованияв рамках ведомственной целевой программы "оказание государственной поддержки по развитию сельскохозяйственного производства в Астраханской обалсти" государтвенной программы "Развитие агропромышленного комплекса Астраханской области"</t>
  </si>
  <si>
    <t>Субсидия на возмещение части затрат на приобретениие элитных семянв рамках ведомственной целевой программы "оказание государственной поддержки по развитию сельскохозяйственного производства в Астраханской обалсти" государтвенной программы "Развитие агропромышленного комплекса Астраханской области"</t>
  </si>
  <si>
    <t>Субсидия на возмещение части затрат по наращиванию поголовья северных оленей, маралов и мясных табунных лошадейв рамках ведомственной целевой программы "оказание государственной поддержки по развитию сельскохозяйственного производства в Астраханской обалсти" государтвенной программы "Развитие агропромышленного комплекса Астраханской области"</t>
  </si>
  <si>
    <t>Субсидии на поддержку племенного крупного рогатого скота мясного направленияв рамках ведомственной целевой программы "оказание государственной поддержки по развитию сельскохозяйственного производства в Астраханской обалсти" государтвенной программы "Развитие агропромышленного комплекса Астраханской области"</t>
  </si>
  <si>
    <t>Субсидии на поддержку  начинающих фермеровв рамках ведомственной целевой программы "оказание государственной поддержки по развитию сельскохозяйственного производства в Астраханской обалсти" государтвенной программы "Развитие агропромышленного комплекса Астраханской области"</t>
  </si>
  <si>
    <t>Субсидии на оказание несвязанной поддержки сельскохозяйственным товаропроизводителям в области растениводства в рамках ведомственной целевой программы "оказание государственной поддержки по развитию сельскохозяйственного производства в Астраханской обалсти" государтвенной программы "Развитие агропромышленного комплекса Астраханской области"</t>
  </si>
  <si>
    <t>субвенция, предоставляемая местным бюджетам из бюджета Астраханской области для осуществления отдельных государственных пол-номочий по поддержке сельскохозяйственного производства</t>
  </si>
  <si>
    <t>Комитет по физической культуре и спорту администрации муниципального образования "Володарский район"</t>
  </si>
  <si>
    <t xml:space="preserve">Муниципальная программа "Развитие массовой физической культуры и спорта в Володарском районе" </t>
  </si>
  <si>
    <t>Подпрограмма "Создание условий для развития МП  "Развитие массовой физической культуры и спорта в Володарском районе"</t>
  </si>
  <si>
    <t xml:space="preserve">Подпрограмма "Расширение сети учреждений физической культуры и спорта на территрии Володарского района" </t>
  </si>
  <si>
    <t>Подпрограмма "Организация проведения физкультурных и комплексных мероприятий"</t>
  </si>
  <si>
    <t>МКОУ ДОД"ДДТ Володарский"</t>
  </si>
  <si>
    <t xml:space="preserve">МП "Развитие системы образования Володарского района" </t>
  </si>
  <si>
    <t>Подпрограмма "Развитие системы воспитания и допоолнительного образования"</t>
  </si>
  <si>
    <t>МКОУ ДОД"ДДТ с. Марфино"</t>
  </si>
  <si>
    <t>МКОУ "Лебяжинская ООШ"</t>
  </si>
  <si>
    <t>Муниципальная целевая программа "Развтие образования и воспитания  МО "Володарский район" на 2015-2017 годы"</t>
  </si>
  <si>
    <t>Субвенция на общеобразовательный процесс</t>
  </si>
  <si>
    <t>Субвенция на компенсацию части родительской платы</t>
  </si>
  <si>
    <t>Расходы из доходов за счетсредств  родительской платы</t>
  </si>
  <si>
    <t>МКОУ "Болдыревская ООШ"</t>
  </si>
  <si>
    <t>МКОУ "Сорочинская СОШ"</t>
  </si>
  <si>
    <t>МКОУ "Костюбинская ООШ"</t>
  </si>
  <si>
    <t>МКОУ "Тюринская ООШ"</t>
  </si>
  <si>
    <t>МКОУ "Новокрасинская ООШ"</t>
  </si>
  <si>
    <t>МКОУ "Калининская СОШ"</t>
  </si>
  <si>
    <t>МКОУ "Нововасильевская  ООШ"</t>
  </si>
  <si>
    <t>МКОУ "Винновская ООШ"</t>
  </si>
  <si>
    <t>МКОУ "Яблонская ООШ"</t>
  </si>
  <si>
    <t>МКОУ "Крутовская ООШ"</t>
  </si>
  <si>
    <t>МКВ (С)ОУ "Вечерняя (сменная) ОШ"</t>
  </si>
  <si>
    <t>МКОУ "Султановская ООШ"</t>
  </si>
  <si>
    <t>МКОУ "Маковская ООШ"</t>
  </si>
  <si>
    <t>МКОУ "Новорычанская ООШ"</t>
  </si>
  <si>
    <t>ИТОГО</t>
  </si>
  <si>
    <t>норматив</t>
  </si>
  <si>
    <t>145916,78</t>
  </si>
  <si>
    <t>Дефицит расчетный</t>
  </si>
  <si>
    <t>привлеч</t>
  </si>
  <si>
    <t>погашение основного долга</t>
  </si>
  <si>
    <t>Расходы</t>
  </si>
  <si>
    <t xml:space="preserve">обеспеченности поселений на 2015г </t>
  </si>
  <si>
    <t xml:space="preserve">работникам культуры на 2015г </t>
  </si>
  <si>
    <t>Распределение субсидии по заключенным соглашениям с муниципальными образованиями</t>
  </si>
  <si>
    <t>МО "Марфинский сельсовет"</t>
  </si>
  <si>
    <t>МО "Новокрасинский сельсовет"</t>
  </si>
  <si>
    <t>Публичные нормативные социальные выплаты гражданам
 на 2015г.</t>
  </si>
  <si>
    <t>ФФПП Володарского района</t>
  </si>
  <si>
    <t xml:space="preserve">Подпрограмма "Развитие дорожного хозяйства Володарского района"  </t>
  </si>
  <si>
    <t>ДОХОДЫ ОТ УПЛАТЫ АКЦИЗОВ</t>
  </si>
  <si>
    <t>Акцизы</t>
  </si>
  <si>
    <t>1030223001000110</t>
  </si>
  <si>
    <t>1030223000000110</t>
  </si>
  <si>
    <t>Безвозмезные поступления от бюджетов поселений</t>
  </si>
  <si>
    <t>Факт 1 полугодия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</si>
  <si>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сферае защиты прав потребеителей</t>
  </si>
  <si>
    <t xml:space="preserve">Денежные взыскания (штрафы) за правонарушения в области дорожного движения </t>
  </si>
  <si>
    <t xml:space="preserve">Сумма по искам о возмещении вреда, причененного окружающей среде
</t>
  </si>
  <si>
    <t>11635000000000140</t>
  </si>
  <si>
    <t>% выполнение</t>
  </si>
  <si>
    <t>Отклонение от бюджета</t>
  </si>
  <si>
    <t>Проект бюджет с учетом изменений</t>
  </si>
  <si>
    <t xml:space="preserve">Факт 2014 </t>
  </si>
  <si>
    <t>Оказание несвязанной поддержки сельскохозяйственным товаропроизводителям в области растениеводства в рамках ведомственной целевой программы "Оказание государственной поддержки по развитию сельскохозяйственного производства в Астраханской области" государственной программы "Развитие агропромышленного комплекса Астраханской области"</t>
  </si>
  <si>
    <t>202 03101 05 0000 151</t>
  </si>
  <si>
    <t>202 03105 05 0000 151</t>
  </si>
  <si>
    <t>Возмещение части затрат по наращиванию поголовья северных оленей, маралов и мясных табунных лошадей в рамках ведомственной целевой программы "Оказание государственной поддержки по развитию сельскохозяйственного производства в Астраханской области" государственной программы "Развитие агропромышленного комплекса Астраханской области"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</si>
  <si>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ведомственной целевой программы "Оказание государственной поддержки по развитию сельскохозяйственного производства в Астраханской области" государственной программы "Развитие агропромышленного комплекса Астраханской области"</t>
  </si>
  <si>
    <t>202 03108 05 0000 151</t>
  </si>
  <si>
    <t>Поддержка племенного крупного рогатого скота мясного направления в рамках ведомственной целевой программы "Оказание государственной поддержки по развитию сельскохозяйственного производства в Астраханской области" государственной программы "Развитие агропромышленного комплекса Астраханской области"</t>
  </si>
  <si>
    <t>202 03110 05 0000 151</t>
  </si>
  <si>
    <t>202 03115 05 0000 151</t>
  </si>
  <si>
    <t>Возмещение части процентной ставки по долгосрочным, среднесрочным и краткосрочным кредитам, взятым малыми формами хозяйствования, в рамках ведомственной целевой программы "Оказание государственной поддержки по развитию сельскохозяйственного производства в Астраханской области" государственной программы "Развитие агропромышленного комплекса Астраханской области"</t>
  </si>
  <si>
    <t>202 03999 05 0000 151</t>
  </si>
  <si>
    <t>Субвенции муниципальным образованиям Астраханской области на осуществление государственной поддержки сельскохозяйственного производства в рамках ведомственной целевой программы "Оказание государственной поддержки по развитию сельскохозяйственного производства в Астраханской области" государственной программы "Развитие агропромышленного комплекса Астраханской области"</t>
  </si>
  <si>
    <t>Субвенции муниципальным образованиям Астраханской области на осуществление управленческих функций органами местного самоуправления по поддержке сельскохозяйственного производства в рамках ведомственной целевой программы "Повышение эффективности государственного управления в сфере сельского хозяйства и рыбной промышленности Астраханской области" государственной программы "Развитие агропромышленного комплекса Астраханской области"</t>
  </si>
  <si>
    <t>Мероприятия, связанные с исполнением наказов избирателей депутатам Думы Астраханской области, по непрограммному направлению расходов "Наказы избирателей депутатам Думы Астраханской области" в рамках непрограммного направления деятельности "Реализация функций органов государственной власти Астраханской области"</t>
  </si>
  <si>
    <t>Иные межбюджетные трансферты муниципальным образованиям Астраханской области на проведение противопаводковых мероприятий в рамках ведомственной целевой программы "Обеспечение безопасности жизнедеятельности населения Астраханской области"</t>
  </si>
  <si>
    <t>Иные межбюджетные трансферты муниципальным образованиям Астраханской области на осуществление деятельности комиссий по делам несовершеннолетних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</si>
  <si>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Иные межбюджетные трансферты муниципальным образованиям Астраханской области на поощрение победителей областных конкурсов "Новогодняя сказка" и "Самый благоустроенный населенный пункт в Астраханской области" в рамках ведомственной целевой программы "Формирование позитивного образа Астраханской области в рамках межрегиональных связей"</t>
  </si>
  <si>
    <t>20204014050000151</t>
  </si>
  <si>
    <t>21805010050000151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</si>
  <si>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</si>
  <si>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21905000050000151</t>
  </si>
  <si>
    <t>с учетом изменений 2015</t>
  </si>
  <si>
    <t>Субсидии муниципальным образованиям Астраханской области в объекты водохозяйственного комплекса муниципальной собственности, за исключением субсидий на софинансирование капитальных вложений, в рамках подпрограммы "Развитие водохозяйственного комплекса Астраханской области" государственной программы "Охрана окружающей среды Астраханской области"</t>
  </si>
  <si>
    <t>Субсидии молодым семьям</t>
  </si>
  <si>
    <t>ЖИЛИЩНО-КОММУНАЛЬНОЕ ХОЗЯЙСТВО</t>
  </si>
  <si>
    <t xml:space="preserve">МП "Развитие дорожного хозяйства"  </t>
  </si>
  <si>
    <t>Обеспечение мероприятий по переселению граждан из аварийного жилищного фонда (за счет средств государственной корпорации - Фонда содействия реформированию жилищно-коммунального хозяйства) в рамках подпрограммы "Переселение граждан из непригодного для проживания жилищного фонда" государственной программы "Развитие жилищного строительства в Астраханской области"</t>
  </si>
  <si>
    <t>Обеспечение мероприятий по переселению граждан из аварийного жилищного фонда в рамках подпрограммы "Переселение граждан из непригодного для проживания жилищного фонда" государственной программы "Развитие жилищного строительства в Астраханской области"</t>
  </si>
  <si>
    <t>Государственная поддержка муниципальных учреждений культуры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</si>
  <si>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Муниципальная доплата к государственной пенисии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</si>
  <si>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"Психофизическая безопасность детей и молодежи" государственной программы "Развитие образования Астраханской области"</t>
  </si>
  <si>
    <t>Г</t>
  </si>
  <si>
    <t>Возмещение части затрат на закладку и уход за многолетними плодовыми и ягодными насаждениями в рамках ведомственной целевой программы "Оказание государственной поддержки по развитию сельскохозяйственного производства в Астраханской области" государственной программы "Развитие агропромышленного комплекса Астраханской области"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</si>
  <si>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ведомственной целевой программы "Оказание государственной поддержки по развитию сельскохозяйственного производства в Астраханской области" государственной программы "Развитие агропромышленного комплекса Астраханской области"</t>
  </si>
  <si>
    <t>Возмещение части затрат по наращиванию маточного поголовья овец и коз в рамках ведомственной целевой программы "Оказание государственной поддержки по развитию сельскохозяйственного производства в Астраханской области" государственной программы "Развитие агропромышленного комплекса Астраханской области"</t>
  </si>
  <si>
    <t>Возмещение части процентной ставки по инвестиционным кредитам на строительство и реконструкцию объектов мясного скотоводства в рамках ведомственной целевой программы "Оказание государственной поддержки по развитию сельскохозяйственного производства в Астраханской области" государственной программы "Развитие агропромышленного комплекса Астраханской области"</t>
  </si>
  <si>
    <t>Поддержка начинающих фермеров в рамках ведомственной целевой программы "Оказание государственной поддержки по развитию сельскохозяйственного производства в Астраханской области" государственной программы "Развитие агропромышленного комплекса Астраханской области"</t>
  </si>
  <si>
    <t>Развитие семейных животноводческих ферм в рамках ведомственной целевой программы "Оказание государственной поддержки по развитию сельскохозяйственного производства в Астраханской области" государственной программы "Развитие агропромышленного комплекса Астраханской области"</t>
  </si>
  <si>
    <t>Реализация мероприятий федеральной целевой программы "Устойчивое развитие сельских территорий на 2014-2017 годы и на период до 2020 года" в рамках подпрограммы "Устойчивое развитие сельских территорий Астраханской области" государственной программы "Развитие агропромышленного комплекса Астраханской области"</t>
  </si>
  <si>
    <t>Субсидии муниципальным образованиям Астраханской области на улучшение жилищных условий граждан, проживающих в сельской местности в рамках подпрограммы "Устойчивое развитие сельских территорий Астраханской области" государственной программы "Развитие агропромышленного комплекса Астраханской области"</t>
  </si>
  <si>
    <t>Субсидии муниципальным образованиям Астраханской области на реализацию проектов социально-инженерного обустройства населенных пунктов в рамках подпрограммы "Устойчивое развитие сельских территорий Астраханской области" государственной программы "Развитие агропромышленного комплекса Астраханской области"</t>
  </si>
  <si>
    <t>2015 с учетом изменений</t>
  </si>
  <si>
    <t>Проведение выборов и референдумов</t>
  </si>
  <si>
    <t>Водное хозяйство</t>
  </si>
  <si>
    <t>Жилщное хозяйство</t>
  </si>
  <si>
    <t>Коммунальное хозяйство</t>
  </si>
  <si>
    <t>Благоустройство</t>
  </si>
  <si>
    <t>Прочие безвозмезные поступления в бюджеты муниципальных образований</t>
  </si>
  <si>
    <t>расчетные расходы</t>
  </si>
  <si>
    <t>МО "Козловский сельсовет"</t>
  </si>
  <si>
    <t>МО "Мултановский сельсовет"</t>
  </si>
  <si>
    <t>МО "Поселок Володарский"</t>
  </si>
  <si>
    <t>Распределение иных межбюджетных трансфертов</t>
  </si>
  <si>
    <t>на 2015г из фонда финансовой поддержки поселений</t>
  </si>
  <si>
    <t>Распределение иных межбюджетных трансфертов на исполение наказов избирателей депутатам Думы Астраханской области на 2015 год</t>
  </si>
  <si>
    <t>Распределение межбюджетных трансфертов на проведение противопаводковых мероприятий</t>
  </si>
  <si>
    <t xml:space="preserve">Доходы бюджета МО "Володарский район" на 2015г </t>
  </si>
  <si>
    <t>20705030050000180</t>
  </si>
  <si>
    <t>2020906505000151</t>
  </si>
  <si>
    <t>Распределение межбюджетных трансфертов на реализацию муниципальной программы "Развитие дорожного хозяйства"</t>
  </si>
  <si>
    <t>Сизобугорский с/с</t>
  </si>
  <si>
    <t>Подпрограмма "Территориальное развитие (градостроительство и землеустройство)"</t>
  </si>
  <si>
    <t>Подпрограмма "Комплексное развитие коммульной инфраструктуры""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</si>
  <si>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</si>
  <si>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функций органов государственной власти Астраханской области"</t>
  </si>
  <si>
    <t>Субсидия на реализаций мероприятий подпрограммы  "Совершенствование структуры и содержание дошкольного образования" (питание)</t>
  </si>
  <si>
    <t>70 лет победы</t>
  </si>
  <si>
    <t>Расходы за счет средств родительской платы</t>
  </si>
  <si>
    <t>Оказание материальной помощи работникам администрации</t>
  </si>
  <si>
    <t xml:space="preserve">на 2015г </t>
  </si>
  <si>
    <t>муниципальных внутренних заимствований на 2015г</t>
  </si>
  <si>
    <t>Факт 2015</t>
  </si>
  <si>
    <t>%  исполнения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</si>
  <si>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 в рамках подпрограммы "Переселение граждан из непригодного для проживания жилищного фонда" государственной программы "Развитие жилищного строительства в Астраханской области"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</si>
  <si>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"Переселение граждан из непригодного для проживания жилищного фонда" государственной программы "Развитие жилищного строительства в Астраханской области"</t>
  </si>
  <si>
    <t>Социальные выплаты работникам аппарата</t>
  </si>
  <si>
    <t>Оздоровление</t>
  </si>
  <si>
    <t>МКОУ "Начальная школа-сад п. Трубный"</t>
  </si>
  <si>
    <t>План 2015</t>
  </si>
  <si>
    <t>% исполнения</t>
  </si>
  <si>
    <t>Факт за 2015 год</t>
  </si>
  <si>
    <t>Распределение бюджетных ассигнований на 2015 год 
 по разделам и подразделам классификации расходов бюджетов</t>
  </si>
  <si>
    <t>план 2015</t>
  </si>
  <si>
    <t>факт 2015</t>
  </si>
  <si>
    <t>Проект бюджет с учетом изменений на 2015 год</t>
  </si>
  <si>
    <t xml:space="preserve">Факт за 2015 год </t>
  </si>
  <si>
    <t xml:space="preserve">Субсидии бюджетам бюджетной системы Российской Федерации 
</t>
  </si>
  <si>
    <t>Мероприятия федеральной целевой программы "Развитие водохозяйственного комплекса Российской Федерации в 2012-2020 годах" в рамках подпрограммы "Развитие водохозяйственного комплекса Астраханской области" государственной программы "Охрана окружающей среды Астраханской области"</t>
  </si>
  <si>
    <t>202 02999 05 0000 151</t>
  </si>
  <si>
    <t>Субсидии муниципальным образованиям Астраханской области на обеспечение жильем молодых семей в рамках подпрограммы "Обеспечение жильем молодых семей в Астраханской области" государственной программы "Молодежь Астраханской области"</t>
  </si>
  <si>
    <t>202 02215 05 0000 151</t>
  </si>
  <si>
    <t>Субсидии муниципальным образованиям Астраханской области на возмещение затрат по выполнению непрофильных функций в муниципальных общеобразовательных организациях Астраханской области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</si>
  <si>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Субсидии муниципальным образованиям Астраханской области на питание обучающихся 1-4 классов муниципальных общеобразовательных организаций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</si>
  <si>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</t>
  </si>
  <si>
    <t>202 02088 05 0002 151</t>
  </si>
  <si>
    <t xml:space="preserve"> 202 02088 05 0002 151</t>
  </si>
  <si>
    <t>202 02089 05 0000 151</t>
  </si>
  <si>
    <t>202 02085 05 0000 151</t>
  </si>
  <si>
    <t>202 02077 05 0000 151</t>
  </si>
  <si>
    <t>Субсидии муниципальным образованиям Астраханской области на сохранение и развитие культуры села как основной составляющей единого культурного пространства Астраханской области в рамках подпрограммы "Развитие культуры села Астраханской области" государственной программы "Развитие культуры и туризма в Астраханской области"</t>
  </si>
  <si>
    <t>Реализация мероприятий федеральной целевой программы "Культура России (2012-2018 годы)"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</si>
  <si>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202 02051 05 0000 151</t>
  </si>
  <si>
    <t>Субвенция муниципальным образованиям Астраханской области на содержание комиссии по делам несовершеннолетних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</si>
  <si>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</si>
  <si>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</si>
  <si>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образования,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</si>
  <si>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202 03029 05 0000 151</t>
  </si>
  <si>
    <t>202 03098 05 0000 151</t>
  </si>
  <si>
    <t>202 03104 05 0000 151</t>
  </si>
  <si>
    <t>202 03112 05 0000 151</t>
  </si>
  <si>
    <t>202 03113 05 0000 151</t>
  </si>
  <si>
    <t>202 03114 05 0000 151</t>
  </si>
  <si>
    <t>Осуществление первичного воинского учета на территориях, где отсутствуют военные комиссариаты, в рамках ведомственной целевой программы "Обеспечение эффективного управления системой общественных финансов Астраханской области" государственной программы "Управление государственными финансами Астраханской области"</t>
  </si>
  <si>
    <t>202 03015 05 0000 151</t>
  </si>
  <si>
    <t>Субвенции муниципальным образованиям Астраханской области на осуществление государственных полномочий по выравниванию бюджетной обеспеченности поселений за счет средств бюджета Астраханской области в рамках ведомственной целевой программы "Обеспечение эффективного управления системой общественных финансов Астраханской области" государственной программы "Управление государственными финансами Астраханской области"</t>
  </si>
  <si>
    <t>202 03024 05 0000 151</t>
  </si>
  <si>
    <t>Субвенции муниципальным образованиям Астраханской области на содержание административных комиссий в рамках ведомственной целевой программы "Формирование позитивного образа Астраханской области в рамках межрегиональных связей"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</si>
  <si>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</si>
  <si>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202 03007 05 0000 151</t>
  </si>
  <si>
    <t>202 04999 05 0000 151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</si>
  <si>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</si>
  <si>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202 04025 05 0000 151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</si>
  <si>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</si>
  <si>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202 04041 05 0000 151</t>
  </si>
  <si>
    <t>202 04052 05 0000 151</t>
  </si>
  <si>
    <t xml:space="preserve"> 202 04012 05 0000 151</t>
  </si>
  <si>
    <t>076</t>
  </si>
  <si>
    <t>ПРОЧИЕ НЕНАЛОГОВЫЕ ДОХОДЫ</t>
  </si>
  <si>
    <t>11701000000000180</t>
  </si>
  <si>
    <t>11701050100000180</t>
  </si>
  <si>
    <t>202 04014 05 0000 151</t>
  </si>
  <si>
    <t>3082,9(тумак, костюба, сош2</t>
  </si>
  <si>
    <t>Приложение № 13</t>
  </si>
  <si>
    <t>Приложение № 14</t>
  </si>
  <si>
    <t>Приложение № 15</t>
  </si>
  <si>
    <t>Приложение № 16</t>
  </si>
  <si>
    <t>Приложение № 17</t>
  </si>
  <si>
    <t>Перечень кредитных договоров (соглашений), подлежащих исполнению в 2015 году</t>
  </si>
  <si>
    <t>Факт за 2015</t>
  </si>
  <si>
    <t>№ пп</t>
  </si>
  <si>
    <t>Наименование программы</t>
  </si>
  <si>
    <t>План 2015 года</t>
  </si>
  <si>
    <t>Исполнение,%</t>
  </si>
  <si>
    <t>"Развитие массовой физической культуры и спорта в Володарском районе на 2015-2017 годы"</t>
  </si>
  <si>
    <t>"Развитие Агропромышленного комплекса Володарского района на 2015-2020 годы"</t>
  </si>
  <si>
    <t>"Безопасность на территории МО "Володарский район на 2015-2017 годы"</t>
  </si>
  <si>
    <t>"Муниципальное управление на территории МО "Володарский район на 2015-2017 годы"</t>
  </si>
  <si>
    <t>Переселение граждан, проживающих на территории Володарского района Астраханской области, из аварийного жилого фонда на 2014-2017 годы за счет средств фонда содействия реформирования жилищно-коммунального хозяйства</t>
  </si>
  <si>
    <t>" Создание условий для устойчивого экономического развития на территории Володарского района на 2015-2017 годы»</t>
  </si>
  <si>
    <t>"Проведение выборов Главы Володарского района на 2015 год"</t>
  </si>
  <si>
    <t>"Развитие средств массовой информации на территории Володарского района на 2015-2017 годы"</t>
  </si>
  <si>
    <t>" Свой дом для молодой семьи на 2015-2017 годы"</t>
  </si>
  <si>
    <t>Социальная поддержка старшего поколения, ветеранов и инвалидов, иных категорий граждан (ООО Милосердие)</t>
  </si>
  <si>
    <t xml:space="preserve">«Развитие культуры на территории Володарского района на 2015-2017 </t>
  </si>
  <si>
    <t>«Подготовка и проведение празднования 70-й годовщины Победы в Великой Отечественной войне 1941-1945 годов на 2015 год»</t>
  </si>
  <si>
    <t>"Подготовка учреждений Володарского района к отопительному сезону и проведение отопительного сезона на 2014-2016 гг"</t>
  </si>
  <si>
    <t>Территориальное развитие</t>
  </si>
  <si>
    <t>Комплексное развитие систем коммунальной инфрастуктуры Володарского района Астраханской области на 2015-2017 годы"</t>
  </si>
  <si>
    <t>Развитие дорожного хозяйства Володарского района Астраханской области на 2015-2016 гг. и перспективу до 2020 г.</t>
  </si>
  <si>
    <t>"Развитие системы образования Володарского района на 2015</t>
  </si>
  <si>
    <t>"Обустройство пешеходных переходов на территории сельских поселений МО "Володарский район", вблизи общеобразовательных учреждений техническими средствами организации движения на 2015-2017 гг"</t>
  </si>
  <si>
    <t>"Развитие водохозяйственного комплекса Володарского района Астраханской области на 2015-2020 гг."</t>
  </si>
  <si>
    <t>"Испонение наказов избирателей депутатам Думы Астраханской области на 2015 год на территории Володарского района"</t>
  </si>
  <si>
    <t>Итого:</t>
  </si>
  <si>
    <t xml:space="preserve">Исполнение муниципальных программ администрации МО "Володарский район"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</si>
</sst>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.0"/>
    <numFmt numFmtId="166" formatCode="0.000"/>
    <numFmt numFmtId="167" formatCode="_(* #,##0_);_(* \(#,##0\);_(* &quot;-&quot;??_);_(@_)"/>
    <numFmt numFmtId="168" formatCode="0.0%"/>
    <numFmt numFmtId="169" formatCode="_(* #,##0.000_);_(* \(#,##0.000\);_(* &quot;-&quot;??_);_(@_)"/>
    <numFmt numFmtId="170" formatCode="_-* #,##0.000_р_._-;\-* #,##0.000_р_._-;_-* &quot;-&quot;???_р_._-;_-@_-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,##0.00&quot;р.&quot;"/>
    <numFmt numFmtId="178" formatCode="_-* #,##0.0_р_._-;\-* #,##0.0_р_._-;_-* &quot;-&quot;??_р_._-;_-@_-"/>
  </numFmts>
  <fonts count="95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 Cyr"/>
      <family val="0"/>
    </font>
    <font>
      <b/>
      <i/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sz val="10"/>
      <color indexed="10"/>
      <name val="Arial Cyr"/>
      <family val="0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b/>
      <sz val="12"/>
      <name val="Arial Cyr"/>
      <family val="0"/>
    </font>
    <font>
      <i/>
      <sz val="11"/>
      <name val="Arial"/>
      <family val="2"/>
    </font>
    <font>
      <u val="single"/>
      <sz val="11"/>
      <color indexed="12"/>
      <name val="Calibri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10"/>
      <name val="Times New Roman"/>
      <family val="1"/>
    </font>
    <font>
      <sz val="11"/>
      <color indexed="62"/>
      <name val="Times New Roman"/>
      <family val="1"/>
    </font>
    <font>
      <sz val="11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1"/>
      <color theme="3" tint="0.39998000860214233"/>
      <name val="Times New Roman"/>
      <family val="1"/>
    </font>
    <font>
      <sz val="11"/>
      <color rgb="FF0070C0"/>
      <name val="Times New Roman"/>
      <family val="1"/>
    </font>
    <font>
      <sz val="12"/>
      <color rgb="FF0070C0"/>
      <name val="Times New Roman"/>
      <family val="1"/>
    </font>
    <font>
      <sz val="10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69" fillId="0" borderId="0">
      <alignment/>
      <protection/>
    </xf>
    <xf numFmtId="0" fontId="2" fillId="0" borderId="0">
      <alignment/>
      <protection/>
    </xf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95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67" fontId="3" fillId="0" borderId="0" xfId="62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7" fontId="0" fillId="0" borderId="0" xfId="62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167" fontId="4" fillId="0" borderId="10" xfId="62" applyNumberFormat="1" applyFont="1" applyFill="1" applyBorder="1" applyAlignment="1">
      <alignment wrapText="1"/>
    </xf>
    <xf numFmtId="0" fontId="6" fillId="3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34" borderId="0" xfId="0" applyFont="1" applyFill="1" applyAlignment="1">
      <alignment wrapText="1"/>
    </xf>
    <xf numFmtId="0" fontId="6" fillId="0" borderId="0" xfId="0" applyFont="1" applyAlignment="1">
      <alignment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right"/>
    </xf>
    <xf numFmtId="0" fontId="12" fillId="36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" fillId="37" borderId="10" xfId="0" applyFont="1" applyFill="1" applyBorder="1" applyAlignment="1">
      <alignment horizontal="right"/>
    </xf>
    <xf numFmtId="0" fontId="9" fillId="35" borderId="10" xfId="0" applyFont="1" applyFill="1" applyBorder="1" applyAlignment="1">
      <alignment horizontal="right"/>
    </xf>
    <xf numFmtId="0" fontId="9" fillId="34" borderId="10" xfId="0" applyFont="1" applyFill="1" applyBorder="1" applyAlignment="1">
      <alignment horizontal="right"/>
    </xf>
    <xf numFmtId="0" fontId="20" fillId="0" borderId="0" xfId="0" applyFont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164" fontId="20" fillId="0" borderId="10" xfId="62" applyFont="1" applyFill="1" applyBorder="1" applyAlignment="1">
      <alignment horizontal="center" vertical="center" wrapText="1"/>
    </xf>
    <xf numFmtId="164" fontId="20" fillId="0" borderId="10" xfId="62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38" borderId="10" xfId="0" applyNumberFormat="1" applyFont="1" applyFill="1" applyBorder="1" applyAlignment="1">
      <alignment horizontal="center" vertical="center" wrapText="1" shrinkToFit="1"/>
    </xf>
    <xf numFmtId="0" fontId="20" fillId="38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38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top" shrinkToFi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67" fontId="20" fillId="0" borderId="0" xfId="0" applyNumberFormat="1" applyFont="1" applyFill="1" applyBorder="1" applyAlignment="1">
      <alignment/>
    </xf>
    <xf numFmtId="0" fontId="20" fillId="38" borderId="10" xfId="0" applyFont="1" applyFill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49" fontId="20" fillId="38" borderId="10" xfId="0" applyNumberFormat="1" applyFont="1" applyFill="1" applyBorder="1" applyAlignment="1">
      <alignment horizontal="center" vertical="top" shrinkToFit="1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0" fillId="38" borderId="10" xfId="0" applyNumberFormat="1" applyFont="1" applyFill="1" applyBorder="1" applyAlignment="1">
      <alignment horizontal="center" vertical="center" wrapText="1"/>
    </xf>
    <xf numFmtId="49" fontId="20" fillId="38" borderId="10" xfId="0" applyNumberFormat="1" applyFont="1" applyFill="1" applyBorder="1" applyAlignment="1">
      <alignment horizontal="center" vertical="center" shrinkToFi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11" fillId="33" borderId="10" xfId="0" applyFont="1" applyFill="1" applyBorder="1" applyAlignment="1">
      <alignment horizontal="right"/>
    </xf>
    <xf numFmtId="0" fontId="25" fillId="0" borderId="0" xfId="0" applyFont="1" applyAlignment="1">
      <alignment/>
    </xf>
    <xf numFmtId="43" fontId="20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0" fontId="22" fillId="39" borderId="10" xfId="0" applyFont="1" applyFill="1" applyBorder="1" applyAlignment="1">
      <alignment horizontal="center" vertical="center" wrapText="1"/>
    </xf>
    <xf numFmtId="49" fontId="22" fillId="39" borderId="1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2" fillId="0" borderId="0" xfId="0" applyFont="1" applyAlignment="1">
      <alignment/>
    </xf>
    <xf numFmtId="0" fontId="19" fillId="0" borderId="10" xfId="0" applyFont="1" applyBorder="1" applyAlignment="1">
      <alignment horizontal="justify" vertical="top" wrapText="1"/>
    </xf>
    <xf numFmtId="165" fontId="19" fillId="0" borderId="10" xfId="0" applyNumberFormat="1" applyFont="1" applyBorder="1" applyAlignment="1">
      <alignment vertical="top"/>
    </xf>
    <xf numFmtId="165" fontId="22" fillId="0" borderId="10" xfId="0" applyNumberFormat="1" applyFont="1" applyBorder="1" applyAlignment="1">
      <alignment vertical="top"/>
    </xf>
    <xf numFmtId="165" fontId="22" fillId="0" borderId="10" xfId="0" applyNumberFormat="1" applyFont="1" applyBorder="1" applyAlignment="1">
      <alignment horizontal="right" vertical="top"/>
    </xf>
    <xf numFmtId="0" fontId="27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justify" vertical="top" wrapText="1"/>
    </xf>
    <xf numFmtId="49" fontId="22" fillId="0" borderId="10" xfId="0" applyNumberFormat="1" applyFont="1" applyBorder="1" applyAlignment="1">
      <alignment horizontal="justify" vertical="top" wrapText="1"/>
    </xf>
    <xf numFmtId="165" fontId="22" fillId="0" borderId="10" xfId="0" applyNumberFormat="1" applyFont="1" applyBorder="1" applyAlignment="1">
      <alignment horizontal="right" vertical="top" wrapText="1"/>
    </xf>
    <xf numFmtId="49" fontId="22" fillId="0" borderId="10" xfId="0" applyNumberFormat="1" applyFont="1" applyBorder="1" applyAlignment="1">
      <alignment horizontal="justify" vertical="top" wrapText="1"/>
    </xf>
    <xf numFmtId="0" fontId="28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0" xfId="0" applyFont="1" applyBorder="1" applyAlignment="1">
      <alignment/>
    </xf>
    <xf numFmtId="0" fontId="29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0" xfId="0" applyFont="1" applyAlignment="1">
      <alignment horizontal="center" vertical="center" wrapText="1"/>
    </xf>
    <xf numFmtId="164" fontId="16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right"/>
    </xf>
    <xf numFmtId="49" fontId="18" fillId="0" borderId="10" xfId="0" applyNumberFormat="1" applyFont="1" applyBorder="1" applyAlignment="1">
      <alignment wrapText="1"/>
    </xf>
    <xf numFmtId="0" fontId="18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 wrapText="1"/>
    </xf>
    <xf numFmtId="2" fontId="20" fillId="0" borderId="0" xfId="0" applyNumberFormat="1" applyFont="1" applyAlignment="1">
      <alignment horizontal="center" wrapText="1"/>
    </xf>
    <xf numFmtId="164" fontId="20" fillId="0" borderId="0" xfId="62" applyFont="1" applyAlignment="1">
      <alignment horizontal="center"/>
    </xf>
    <xf numFmtId="2" fontId="20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2" fontId="0" fillId="0" borderId="10" xfId="62" applyNumberFormat="1" applyFont="1" applyFill="1" applyBorder="1" applyAlignment="1">
      <alignment wrapText="1"/>
    </xf>
    <xf numFmtId="0" fontId="20" fillId="35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left" vertical="center"/>
    </xf>
    <xf numFmtId="2" fontId="14" fillId="33" borderId="10" xfId="62" applyNumberFormat="1" applyFont="1" applyFill="1" applyBorder="1" applyAlignment="1">
      <alignment wrapText="1"/>
    </xf>
    <xf numFmtId="0" fontId="13" fillId="33" borderId="10" xfId="0" applyFont="1" applyFill="1" applyBorder="1" applyAlignment="1">
      <alignment horizontal="center" vertical="center" wrapText="1"/>
    </xf>
    <xf numFmtId="164" fontId="20" fillId="0" borderId="10" xfId="62" applyFont="1" applyBorder="1" applyAlignment="1">
      <alignment/>
    </xf>
    <xf numFmtId="43" fontId="21" fillId="0" borderId="0" xfId="0" applyNumberFormat="1" applyFont="1" applyFill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0" fillId="0" borderId="11" xfId="0" applyFont="1" applyBorder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1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Alignment="1">
      <alignment/>
    </xf>
    <xf numFmtId="2" fontId="0" fillId="0" borderId="10" xfId="62" applyNumberFormat="1" applyFont="1" applyFill="1" applyBorder="1" applyAlignment="1">
      <alignment/>
    </xf>
    <xf numFmtId="2" fontId="0" fillId="0" borderId="0" xfId="62" applyNumberFormat="1" applyFont="1" applyAlignment="1">
      <alignment/>
    </xf>
    <xf numFmtId="2" fontId="4" fillId="0" borderId="10" xfId="62" applyNumberFormat="1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0" fillId="0" borderId="0" xfId="0" applyFont="1" applyAlignment="1">
      <alignment horizontal="center" vertical="center"/>
    </xf>
    <xf numFmtId="9" fontId="3" fillId="35" borderId="10" xfId="0" applyNumberFormat="1" applyFont="1" applyFill="1" applyBorder="1" applyAlignment="1">
      <alignment horizontal="right"/>
    </xf>
    <xf numFmtId="1" fontId="3" fillId="35" borderId="10" xfId="0" applyNumberFormat="1" applyFont="1" applyFill="1" applyBorder="1" applyAlignment="1">
      <alignment horizontal="right"/>
    </xf>
    <xf numFmtId="0" fontId="31" fillId="34" borderId="10" xfId="0" applyFont="1" applyFill="1" applyBorder="1" applyAlignment="1">
      <alignment horizontal="right"/>
    </xf>
    <xf numFmtId="9" fontId="11" fillId="34" borderId="10" xfId="0" applyNumberFormat="1" applyFont="1" applyFill="1" applyBorder="1" applyAlignment="1">
      <alignment horizontal="right"/>
    </xf>
    <xf numFmtId="1" fontId="31" fillId="34" borderId="10" xfId="0" applyNumberFormat="1" applyFont="1" applyFill="1" applyBorder="1" applyAlignment="1">
      <alignment horizontal="right"/>
    </xf>
    <xf numFmtId="9" fontId="3" fillId="34" borderId="10" xfId="0" applyNumberFormat="1" applyFont="1" applyFill="1" applyBorder="1" applyAlignment="1">
      <alignment horizontal="right"/>
    </xf>
    <xf numFmtId="1" fontId="12" fillId="0" borderId="10" xfId="0" applyNumberFormat="1" applyFont="1" applyBorder="1" applyAlignment="1">
      <alignment horizontal="right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11" fillId="0" borderId="10" xfId="0" applyFont="1" applyBorder="1" applyAlignment="1">
      <alignment horizontal="right"/>
    </xf>
    <xf numFmtId="1" fontId="32" fillId="0" borderId="10" xfId="0" applyNumberFormat="1" applyFont="1" applyBorder="1" applyAlignment="1">
      <alignment horizontal="right"/>
    </xf>
    <xf numFmtId="1" fontId="3" fillId="34" borderId="10" xfId="0" applyNumberFormat="1" applyFont="1" applyFill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6" fillId="34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1" fontId="31" fillId="0" borderId="10" xfId="0" applyNumberFormat="1" applyFont="1" applyBorder="1" applyAlignment="1">
      <alignment horizontal="right"/>
    </xf>
    <xf numFmtId="1" fontId="12" fillId="35" borderId="10" xfId="0" applyNumberFormat="1" applyFont="1" applyFill="1" applyBorder="1" applyAlignment="1">
      <alignment horizontal="right"/>
    </xf>
    <xf numFmtId="9" fontId="3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1" fontId="12" fillId="0" borderId="10" xfId="0" applyNumberFormat="1" applyFont="1" applyFill="1" applyBorder="1" applyAlignment="1">
      <alignment horizontal="right"/>
    </xf>
    <xf numFmtId="9" fontId="16" fillId="39" borderId="10" xfId="0" applyNumberFormat="1" applyFont="1" applyFill="1" applyBorder="1" applyAlignment="1">
      <alignment horizontal="right"/>
    </xf>
    <xf numFmtId="1" fontId="3" fillId="39" borderId="10" xfId="0" applyNumberFormat="1" applyFont="1" applyFill="1" applyBorder="1" applyAlignment="1">
      <alignment horizontal="right"/>
    </xf>
    <xf numFmtId="0" fontId="33" fillId="36" borderId="10" xfId="0" applyFont="1" applyFill="1" applyBorder="1" applyAlignment="1">
      <alignment horizontal="right"/>
    </xf>
    <xf numFmtId="9" fontId="16" fillId="34" borderId="10" xfId="0" applyNumberFormat="1" applyFont="1" applyFill="1" applyBorder="1" applyAlignment="1">
      <alignment horizontal="right"/>
    </xf>
    <xf numFmtId="0" fontId="12" fillId="35" borderId="10" xfId="0" applyFont="1" applyFill="1" applyBorder="1" applyAlignment="1">
      <alignment wrapText="1"/>
    </xf>
    <xf numFmtId="0" fontId="9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9" fontId="16" fillId="0" borderId="10" xfId="0" applyNumberFormat="1" applyFont="1" applyFill="1" applyBorder="1" applyAlignment="1">
      <alignment horizontal="right"/>
    </xf>
    <xf numFmtId="0" fontId="9" fillId="35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0" fillId="0" borderId="0" xfId="0" applyFont="1" applyAlignment="1">
      <alignment horizontal="center" wrapText="1"/>
    </xf>
    <xf numFmtId="164" fontId="0" fillId="0" borderId="0" xfId="64" applyFont="1" applyAlignment="1">
      <alignment wrapText="1"/>
    </xf>
    <xf numFmtId="164" fontId="0" fillId="34" borderId="0" xfId="64" applyFont="1" applyFill="1" applyAlignment="1">
      <alignment wrapText="1"/>
    </xf>
    <xf numFmtId="164" fontId="4" fillId="0" borderId="0" xfId="64" applyFont="1" applyAlignment="1">
      <alignment wrapText="1"/>
    </xf>
    <xf numFmtId="164" fontId="4" fillId="34" borderId="0" xfId="64" applyFont="1" applyFill="1" applyAlignment="1">
      <alignment wrapText="1"/>
    </xf>
    <xf numFmtId="2" fontId="20" fillId="0" borderId="10" xfId="62" applyNumberFormat="1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right" vertical="top"/>
    </xf>
    <xf numFmtId="165" fontId="18" fillId="0" borderId="10" xfId="0" applyNumberFormat="1" applyFont="1" applyBorder="1" applyAlignment="1">
      <alignment horizontal="right"/>
    </xf>
    <xf numFmtId="0" fontId="34" fillId="0" borderId="10" xfId="0" applyFont="1" applyBorder="1" applyAlignment="1">
      <alignment horizontal="center" vertical="top" wrapText="1"/>
    </xf>
    <xf numFmtId="0" fontId="34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3" fillId="33" borderId="10" xfId="0" applyFont="1" applyFill="1" applyBorder="1" applyAlignment="1">
      <alignment horizontal="center" wrapText="1"/>
    </xf>
    <xf numFmtId="0" fontId="3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right"/>
    </xf>
    <xf numFmtId="0" fontId="12" fillId="33" borderId="10" xfId="0" applyFont="1" applyFill="1" applyBorder="1" applyAlignment="1">
      <alignment horizontal="right"/>
    </xf>
    <xf numFmtId="0" fontId="12" fillId="33" borderId="10" xfId="0" applyFont="1" applyFill="1" applyBorder="1" applyAlignment="1">
      <alignment/>
    </xf>
    <xf numFmtId="0" fontId="35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2" fontId="2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13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2" fontId="18" fillId="0" borderId="10" xfId="62" applyNumberFormat="1" applyFont="1" applyBorder="1" applyAlignment="1">
      <alignment horizontal="right"/>
    </xf>
    <xf numFmtId="0" fontId="0" fillId="0" borderId="0" xfId="0" applyFont="1" applyFill="1" applyAlignment="1">
      <alignment wrapText="1"/>
    </xf>
    <xf numFmtId="0" fontId="12" fillId="34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 wrapText="1"/>
    </xf>
    <xf numFmtId="0" fontId="3" fillId="40" borderId="10" xfId="0" applyFont="1" applyFill="1" applyBorder="1" applyAlignment="1">
      <alignment horizontal="right"/>
    </xf>
    <xf numFmtId="0" fontId="0" fillId="0" borderId="10" xfId="0" applyFont="1" applyBorder="1" applyAlignment="1">
      <alignment wrapText="1"/>
    </xf>
    <xf numFmtId="2" fontId="0" fillId="0" borderId="10" xfId="0" applyNumberFormat="1" applyFill="1" applyBorder="1" applyAlignment="1">
      <alignment horizontal="center"/>
    </xf>
    <xf numFmtId="2" fontId="22" fillId="0" borderId="10" xfId="0" applyNumberFormat="1" applyFont="1" applyBorder="1" applyAlignment="1">
      <alignment horizontal="right" vertical="top" wrapText="1"/>
    </xf>
    <xf numFmtId="2" fontId="22" fillId="39" borderId="1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/>
    </xf>
    <xf numFmtId="164" fontId="20" fillId="41" borderId="10" xfId="62" applyFont="1" applyFill="1" applyBorder="1" applyAlignment="1">
      <alignment horizontal="center" vertical="center" wrapText="1"/>
    </xf>
    <xf numFmtId="0" fontId="20" fillId="41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0" fillId="36" borderId="10" xfId="0" applyFont="1" applyFill="1" applyBorder="1" applyAlignment="1">
      <alignment horizontal="right"/>
    </xf>
    <xf numFmtId="0" fontId="0" fillId="40" borderId="10" xfId="0" applyFont="1" applyFill="1" applyBorder="1" applyAlignment="1">
      <alignment horizontal="center" wrapText="1"/>
    </xf>
    <xf numFmtId="0" fontId="0" fillId="40" borderId="10" xfId="0" applyFont="1" applyFill="1" applyBorder="1" applyAlignment="1">
      <alignment horizontal="right"/>
    </xf>
    <xf numFmtId="0" fontId="0" fillId="40" borderId="10" xfId="0" applyFont="1" applyFill="1" applyBorder="1" applyAlignment="1">
      <alignment/>
    </xf>
    <xf numFmtId="0" fontId="0" fillId="39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2" fontId="19" fillId="0" borderId="10" xfId="0" applyNumberFormat="1" applyFont="1" applyBorder="1" applyAlignment="1">
      <alignment horizontal="right" vertical="top" wrapText="1"/>
    </xf>
    <xf numFmtId="1" fontId="36" fillId="34" borderId="10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right"/>
    </xf>
    <xf numFmtId="2" fontId="18" fillId="0" borderId="10" xfId="0" applyNumberFormat="1" applyFont="1" applyBorder="1" applyAlignment="1">
      <alignment horizontal="right"/>
    </xf>
    <xf numFmtId="2" fontId="18" fillId="0" borderId="10" xfId="0" applyNumberFormat="1" applyFont="1" applyFill="1" applyBorder="1" applyAlignment="1">
      <alignment horizontal="right"/>
    </xf>
    <xf numFmtId="2" fontId="17" fillId="0" borderId="0" xfId="0" applyNumberFormat="1" applyFont="1" applyAlignment="1">
      <alignment/>
    </xf>
    <xf numFmtId="2" fontId="18" fillId="0" borderId="10" xfId="0" applyNumberFormat="1" applyFont="1" applyBorder="1" applyAlignment="1">
      <alignment/>
    </xf>
    <xf numFmtId="164" fontId="18" fillId="0" borderId="0" xfId="62" applyFont="1" applyAlignment="1">
      <alignment/>
    </xf>
    <xf numFmtId="2" fontId="18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43" fontId="18" fillId="0" borderId="0" xfId="0" applyNumberFormat="1" applyFont="1" applyAlignment="1">
      <alignment/>
    </xf>
    <xf numFmtId="10" fontId="18" fillId="0" borderId="0" xfId="59" applyNumberFormat="1" applyFont="1" applyAlignment="1">
      <alignment/>
    </xf>
    <xf numFmtId="164" fontId="3" fillId="0" borderId="0" xfId="62" applyFont="1" applyFill="1" applyAlignment="1">
      <alignment/>
    </xf>
    <xf numFmtId="2" fontId="20" fillId="0" borderId="10" xfId="0" applyNumberFormat="1" applyFont="1" applyBorder="1" applyAlignment="1">
      <alignment/>
    </xf>
    <xf numFmtId="49" fontId="20" fillId="41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5" fontId="22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right" vertical="top"/>
    </xf>
    <xf numFmtId="171" fontId="20" fillId="34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14" fillId="34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1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4" fontId="33" fillId="33" borderId="10" xfId="62" applyFont="1" applyFill="1" applyBorder="1" applyAlignment="1">
      <alignment horizontal="right"/>
    </xf>
    <xf numFmtId="164" fontId="3" fillId="33" borderId="10" xfId="62" applyFont="1" applyFill="1" applyBorder="1" applyAlignment="1">
      <alignment/>
    </xf>
    <xf numFmtId="165" fontId="0" fillId="0" borderId="10" xfId="62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/>
    </xf>
    <xf numFmtId="165" fontId="0" fillId="0" borderId="10" xfId="0" applyNumberFormat="1" applyFont="1" applyBorder="1" applyAlignment="1">
      <alignment/>
    </xf>
    <xf numFmtId="165" fontId="14" fillId="33" borderId="10" xfId="62" applyNumberFormat="1" applyFont="1" applyFill="1" applyBorder="1" applyAlignment="1">
      <alignment wrapText="1"/>
    </xf>
    <xf numFmtId="0" fontId="38" fillId="0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40" fillId="33" borderId="10" xfId="0" applyFont="1" applyFill="1" applyBorder="1" applyAlignment="1">
      <alignment/>
    </xf>
    <xf numFmtId="0" fontId="15" fillId="0" borderId="0" xfId="0" applyFont="1" applyBorder="1" applyAlignment="1">
      <alignment vertical="center"/>
    </xf>
    <xf numFmtId="0" fontId="41" fillId="42" borderId="10" xfId="53" applyFont="1" applyFill="1" applyBorder="1" applyAlignment="1">
      <alignment horizontal="center" vertical="center" wrapText="1"/>
      <protection/>
    </xf>
    <xf numFmtId="0" fontId="87" fillId="42" borderId="10" xfId="53" applyFont="1" applyFill="1" applyBorder="1" applyAlignment="1">
      <alignment horizontal="justify" vertical="center" wrapText="1"/>
      <protection/>
    </xf>
    <xf numFmtId="0" fontId="88" fillId="42" borderId="10" xfId="53" applyFont="1" applyFill="1" applyBorder="1" applyAlignment="1">
      <alignment horizontal="justify" vertical="center" wrapText="1"/>
      <protection/>
    </xf>
    <xf numFmtId="0" fontId="88" fillId="42" borderId="10" xfId="53" applyFont="1" applyFill="1" applyBorder="1" applyAlignment="1">
      <alignment horizontal="left" vertical="center" wrapText="1"/>
      <protection/>
    </xf>
    <xf numFmtId="0" fontId="88" fillId="42" borderId="10" xfId="53" applyFont="1" applyFill="1" applyBorder="1" applyAlignment="1">
      <alignment vertical="center" wrapText="1"/>
      <protection/>
    </xf>
    <xf numFmtId="0" fontId="87" fillId="42" borderId="11" xfId="53" applyFont="1" applyFill="1" applyBorder="1" applyAlignment="1">
      <alignment vertical="center" wrapText="1"/>
      <protection/>
    </xf>
    <xf numFmtId="2" fontId="87" fillId="42" borderId="10" xfId="53" applyNumberFormat="1" applyFont="1" applyFill="1" applyBorder="1" applyAlignment="1">
      <alignment vertical="center"/>
      <protection/>
    </xf>
    <xf numFmtId="0" fontId="87" fillId="42" borderId="10" xfId="53" applyFont="1" applyFill="1" applyBorder="1" applyAlignment="1">
      <alignment vertical="center"/>
      <protection/>
    </xf>
    <xf numFmtId="1" fontId="87" fillId="42" borderId="10" xfId="53" applyNumberFormat="1" applyFont="1" applyFill="1" applyBorder="1" applyAlignment="1">
      <alignment vertical="center"/>
      <protection/>
    </xf>
    <xf numFmtId="0" fontId="88" fillId="42" borderId="0" xfId="53" applyFont="1" applyFill="1" applyAlignment="1">
      <alignment horizontal="center" vertical="center" wrapText="1"/>
      <protection/>
    </xf>
    <xf numFmtId="49" fontId="87" fillId="42" borderId="10" xfId="53" applyNumberFormat="1" applyFont="1" applyFill="1" applyBorder="1" applyAlignment="1">
      <alignment horizontal="center" vertical="center"/>
      <protection/>
    </xf>
    <xf numFmtId="0" fontId="87" fillId="42" borderId="10" xfId="53" applyFont="1" applyFill="1" applyBorder="1" applyAlignment="1">
      <alignment horizontal="center" vertical="center"/>
      <protection/>
    </xf>
    <xf numFmtId="0" fontId="88" fillId="42" borderId="0" xfId="53" applyFont="1" applyFill="1" applyAlignment="1">
      <alignment vertical="center" wrapText="1"/>
      <protection/>
    </xf>
    <xf numFmtId="2" fontId="88" fillId="42" borderId="10" xfId="53" applyNumberFormat="1" applyFont="1" applyFill="1" applyBorder="1" applyAlignment="1">
      <alignment vertical="center"/>
      <protection/>
    </xf>
    <xf numFmtId="0" fontId="88" fillId="42" borderId="10" xfId="53" applyFont="1" applyFill="1" applyBorder="1" applyAlignment="1">
      <alignment vertical="center"/>
      <protection/>
    </xf>
    <xf numFmtId="2" fontId="88" fillId="42" borderId="0" xfId="53" applyNumberFormat="1" applyFont="1" applyFill="1" applyAlignment="1">
      <alignment vertical="center"/>
      <protection/>
    </xf>
    <xf numFmtId="0" fontId="15" fillId="0" borderId="0" xfId="0" applyFont="1" applyAlignment="1">
      <alignment horizontal="left" vertical="center"/>
    </xf>
    <xf numFmtId="0" fontId="88" fillId="0" borderId="0" xfId="53" applyFont="1" applyAlignment="1">
      <alignment vertical="center"/>
      <protection/>
    </xf>
    <xf numFmtId="0" fontId="15" fillId="0" borderId="0" xfId="0" applyFont="1" applyAlignment="1">
      <alignment horizontal="center" vertical="center"/>
    </xf>
    <xf numFmtId="0" fontId="88" fillId="0" borderId="0" xfId="53" applyFont="1" applyAlignment="1">
      <alignment horizontal="center" vertical="center"/>
      <protection/>
    </xf>
    <xf numFmtId="49" fontId="88" fillId="42" borderId="10" xfId="53" applyNumberFormat="1" applyFont="1" applyFill="1" applyBorder="1" applyAlignment="1">
      <alignment horizontal="center" vertical="center"/>
      <protection/>
    </xf>
    <xf numFmtId="49" fontId="87" fillId="0" borderId="10" xfId="53" applyNumberFormat="1" applyFont="1" applyFill="1" applyBorder="1" applyAlignment="1">
      <alignment horizontal="center" vertical="center" wrapText="1"/>
      <protection/>
    </xf>
    <xf numFmtId="164" fontId="20" fillId="0" borderId="0" xfId="62" applyFont="1" applyAlignment="1">
      <alignment/>
    </xf>
    <xf numFmtId="2" fontId="20" fillId="0" borderId="0" xfId="62" applyNumberFormat="1" applyFont="1" applyAlignment="1">
      <alignment horizontal="center"/>
    </xf>
    <xf numFmtId="10" fontId="20" fillId="0" borderId="0" xfId="0" applyNumberFormat="1" applyFont="1" applyAlignment="1">
      <alignment/>
    </xf>
    <xf numFmtId="9" fontId="20" fillId="0" borderId="0" xfId="0" applyNumberFormat="1" applyFont="1" applyAlignment="1">
      <alignment/>
    </xf>
    <xf numFmtId="2" fontId="88" fillId="43" borderId="0" xfId="53" applyNumberFormat="1" applyFont="1" applyFill="1" applyAlignment="1">
      <alignment vertical="center"/>
      <protection/>
    </xf>
    <xf numFmtId="49" fontId="87" fillId="42" borderId="11" xfId="53" applyNumberFormat="1" applyFont="1" applyFill="1" applyBorder="1" applyAlignment="1">
      <alignment horizontal="center" vertical="center" wrapText="1"/>
      <protection/>
    </xf>
    <xf numFmtId="49" fontId="87" fillId="42" borderId="12" xfId="53" applyNumberFormat="1" applyFont="1" applyFill="1" applyBorder="1" applyAlignment="1">
      <alignment horizontal="center" vertical="center" wrapText="1"/>
      <protection/>
    </xf>
    <xf numFmtId="49" fontId="87" fillId="42" borderId="10" xfId="53" applyNumberFormat="1" applyFont="1" applyFill="1" applyBorder="1" applyAlignment="1">
      <alignment horizontal="center" vertical="center" wrapText="1"/>
      <protection/>
    </xf>
    <xf numFmtId="49" fontId="41" fillId="42" borderId="11" xfId="53" applyNumberFormat="1" applyFont="1" applyFill="1" applyBorder="1" applyAlignment="1">
      <alignment horizontal="center" vertical="center" wrapText="1"/>
      <protection/>
    </xf>
    <xf numFmtId="49" fontId="41" fillId="42" borderId="12" xfId="53" applyNumberFormat="1" applyFont="1" applyFill="1" applyBorder="1" applyAlignment="1">
      <alignment horizontal="center" vertical="center" wrapText="1"/>
      <protection/>
    </xf>
    <xf numFmtId="0" fontId="87" fillId="42" borderId="10" xfId="53" applyFont="1" applyFill="1" applyBorder="1" applyAlignment="1">
      <alignment horizontal="center" vertical="center" wrapText="1"/>
      <protection/>
    </xf>
    <xf numFmtId="49" fontId="87" fillId="42" borderId="11" xfId="53" applyNumberFormat="1" applyFont="1" applyFill="1" applyBorder="1" applyAlignment="1">
      <alignment horizontal="center" vertical="center"/>
      <protection/>
    </xf>
    <xf numFmtId="49" fontId="87" fillId="42" borderId="12" xfId="53" applyNumberFormat="1" applyFont="1" applyFill="1" applyBorder="1" applyAlignment="1">
      <alignment horizontal="center" vertical="center"/>
      <protection/>
    </xf>
    <xf numFmtId="49" fontId="88" fillId="42" borderId="11" xfId="53" applyNumberFormat="1" applyFont="1" applyFill="1" applyBorder="1" applyAlignment="1">
      <alignment horizontal="center" vertical="center"/>
      <protection/>
    </xf>
    <xf numFmtId="49" fontId="88" fillId="42" borderId="12" xfId="53" applyNumberFormat="1" applyFont="1" applyFill="1" applyBorder="1" applyAlignment="1">
      <alignment horizontal="center" vertical="center"/>
      <protection/>
    </xf>
    <xf numFmtId="0" fontId="88" fillId="42" borderId="12" xfId="5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49" fontId="87" fillId="44" borderId="10" xfId="53" applyNumberFormat="1" applyFont="1" applyFill="1" applyBorder="1" applyAlignment="1">
      <alignment horizontal="center" vertical="center" wrapText="1"/>
      <protection/>
    </xf>
    <xf numFmtId="49" fontId="87" fillId="44" borderId="10" xfId="53" applyNumberFormat="1" applyFont="1" applyFill="1" applyBorder="1" applyAlignment="1">
      <alignment horizontal="center" vertical="center"/>
      <protection/>
    </xf>
    <xf numFmtId="0" fontId="87" fillId="44" borderId="10" xfId="53" applyFont="1" applyFill="1" applyBorder="1" applyAlignment="1">
      <alignment horizontal="left" vertical="center" wrapText="1"/>
      <protection/>
    </xf>
    <xf numFmtId="49" fontId="88" fillId="0" borderId="10" xfId="53" applyNumberFormat="1" applyFont="1" applyFill="1" applyBorder="1" applyAlignment="1">
      <alignment horizontal="center" vertical="center"/>
      <protection/>
    </xf>
    <xf numFmtId="49" fontId="88" fillId="0" borderId="10" xfId="53" applyNumberFormat="1" applyFont="1" applyFill="1" applyBorder="1" applyAlignment="1">
      <alignment horizontal="center" vertical="center" wrapText="1"/>
      <protection/>
    </xf>
    <xf numFmtId="49" fontId="88" fillId="42" borderId="10" xfId="53" applyNumberFormat="1" applyFont="1" applyFill="1" applyBorder="1" applyAlignment="1">
      <alignment horizontal="center" vertical="center" wrapText="1"/>
      <protection/>
    </xf>
    <xf numFmtId="0" fontId="88" fillId="0" borderId="12" xfId="53" applyFont="1" applyFill="1" applyBorder="1" applyAlignment="1">
      <alignment horizontal="center" vertical="center" wrapText="1"/>
      <protection/>
    </xf>
    <xf numFmtId="49" fontId="88" fillId="42" borderId="15" xfId="53" applyNumberFormat="1" applyFont="1" applyFill="1" applyBorder="1" applyAlignment="1">
      <alignment horizontal="center" vertical="center"/>
      <protection/>
    </xf>
    <xf numFmtId="49" fontId="88" fillId="42" borderId="11" xfId="53" applyNumberFormat="1" applyFont="1" applyFill="1" applyBorder="1" applyAlignment="1">
      <alignment horizontal="center" vertical="center" wrapText="1"/>
      <protection/>
    </xf>
    <xf numFmtId="49" fontId="88" fillId="42" borderId="12" xfId="53" applyNumberFormat="1" applyFont="1" applyFill="1" applyBorder="1" applyAlignment="1">
      <alignment horizontal="center" vertical="center" wrapText="1"/>
      <protection/>
    </xf>
    <xf numFmtId="49" fontId="88" fillId="42" borderId="15" xfId="53" applyNumberFormat="1" applyFont="1" applyFill="1" applyBorder="1" applyAlignment="1">
      <alignment horizontal="center" vertical="center" wrapText="1"/>
      <protection/>
    </xf>
    <xf numFmtId="164" fontId="20" fillId="0" borderId="0" xfId="62" applyFont="1" applyFill="1" applyBorder="1" applyAlignment="1">
      <alignment/>
    </xf>
    <xf numFmtId="2" fontId="20" fillId="0" borderId="0" xfId="62" applyNumberFormat="1" applyFont="1" applyFill="1" applyBorder="1" applyAlignment="1">
      <alignment horizontal="center"/>
    </xf>
    <xf numFmtId="49" fontId="20" fillId="38" borderId="16" xfId="0" applyNumberFormat="1" applyFont="1" applyFill="1" applyBorder="1" applyAlignment="1">
      <alignment horizontal="center" vertical="center" wrapText="1"/>
    </xf>
    <xf numFmtId="0" fontId="42" fillId="41" borderId="10" xfId="0" applyFont="1" applyFill="1" applyBorder="1" applyAlignment="1">
      <alignment horizontal="center" vertical="center" wrapText="1"/>
    </xf>
    <xf numFmtId="49" fontId="42" fillId="41" borderId="10" xfId="0" applyNumberFormat="1" applyFont="1" applyFill="1" applyBorder="1" applyAlignment="1">
      <alignment horizontal="center" vertical="center" wrapText="1" shrinkToFit="1"/>
    </xf>
    <xf numFmtId="164" fontId="42" fillId="41" borderId="10" xfId="6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 shrinkToFit="1"/>
    </xf>
    <xf numFmtId="0" fontId="25" fillId="0" borderId="10" xfId="0" applyFont="1" applyFill="1" applyBorder="1" applyAlignment="1">
      <alignment/>
    </xf>
    <xf numFmtId="43" fontId="25" fillId="0" borderId="10" xfId="0" applyNumberFormat="1" applyFont="1" applyFill="1" applyBorder="1" applyAlignment="1">
      <alignment/>
    </xf>
    <xf numFmtId="43" fontId="20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49" fontId="25" fillId="0" borderId="10" xfId="0" applyNumberFormat="1" applyFont="1" applyBorder="1" applyAlignment="1">
      <alignment horizontal="center"/>
    </xf>
    <xf numFmtId="164" fontId="25" fillId="0" borderId="10" xfId="62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49" fontId="17" fillId="0" borderId="10" xfId="0" applyNumberFormat="1" applyFont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 vertical="center" wrapText="1" shrinkToFit="1"/>
    </xf>
    <xf numFmtId="164" fontId="17" fillId="0" borderId="10" xfId="62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/>
    </xf>
    <xf numFmtId="164" fontId="18" fillId="0" borderId="10" xfId="62" applyFont="1" applyBorder="1" applyAlignment="1">
      <alignment/>
    </xf>
    <xf numFmtId="164" fontId="17" fillId="0" borderId="10" xfId="62" applyFont="1" applyBorder="1" applyAlignment="1">
      <alignment/>
    </xf>
    <xf numFmtId="0" fontId="25" fillId="0" borderId="10" xfId="0" applyFont="1" applyBorder="1" applyAlignment="1">
      <alignment/>
    </xf>
    <xf numFmtId="43" fontId="25" fillId="0" borderId="10" xfId="0" applyNumberFormat="1" applyFont="1" applyBorder="1" applyAlignment="1">
      <alignment/>
    </xf>
    <xf numFmtId="43" fontId="20" fillId="0" borderId="10" xfId="0" applyNumberFormat="1" applyFont="1" applyBorder="1" applyAlignment="1">
      <alignment/>
    </xf>
    <xf numFmtId="0" fontId="25" fillId="0" borderId="0" xfId="0" applyFont="1" applyFill="1" applyAlignment="1">
      <alignment/>
    </xf>
    <xf numFmtId="164" fontId="20" fillId="0" borderId="10" xfId="62" applyFont="1" applyFill="1" applyBorder="1" applyAlignment="1">
      <alignment/>
    </xf>
    <xf numFmtId="164" fontId="25" fillId="0" borderId="10" xfId="62" applyFont="1" applyFill="1" applyBorder="1" applyAlignment="1">
      <alignment/>
    </xf>
    <xf numFmtId="43" fontId="18" fillId="0" borderId="10" xfId="62" applyNumberFormat="1" applyFont="1" applyBorder="1" applyAlignment="1">
      <alignment horizontal="center" vertical="center" wrapText="1"/>
    </xf>
    <xf numFmtId="43" fontId="17" fillId="0" borderId="10" xfId="62" applyNumberFormat="1" applyFont="1" applyBorder="1" applyAlignment="1">
      <alignment horizontal="center" vertical="center" wrapText="1"/>
    </xf>
    <xf numFmtId="49" fontId="25" fillId="35" borderId="10" xfId="0" applyNumberFormat="1" applyFont="1" applyFill="1" applyBorder="1" applyAlignment="1">
      <alignment horizontal="center"/>
    </xf>
    <xf numFmtId="164" fontId="25" fillId="0" borderId="10" xfId="62" applyFont="1" applyBorder="1" applyAlignment="1">
      <alignment/>
    </xf>
    <xf numFmtId="43" fontId="25" fillId="0" borderId="0" xfId="0" applyNumberFormat="1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164" fontId="20" fillId="35" borderId="10" xfId="62" applyFont="1" applyFill="1" applyBorder="1" applyAlignment="1">
      <alignment/>
    </xf>
    <xf numFmtId="0" fontId="19" fillId="41" borderId="10" xfId="0" applyFont="1" applyFill="1" applyBorder="1" applyAlignment="1">
      <alignment horizontal="center" vertical="center" wrapText="1"/>
    </xf>
    <xf numFmtId="49" fontId="19" fillId="41" borderId="10" xfId="0" applyNumberFormat="1" applyFont="1" applyFill="1" applyBorder="1" applyAlignment="1">
      <alignment horizontal="center" vertical="center" shrinkToFit="1"/>
    </xf>
    <xf numFmtId="164" fontId="19" fillId="41" borderId="10" xfId="62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43" fontId="19" fillId="0" borderId="0" xfId="0" applyNumberFormat="1" applyFont="1" applyAlignment="1">
      <alignment/>
    </xf>
    <xf numFmtId="49" fontId="25" fillId="0" borderId="10" xfId="0" applyNumberFormat="1" applyFont="1" applyFill="1" applyBorder="1" applyAlignment="1">
      <alignment horizontal="center" vertical="top" shrinkToFit="1"/>
    </xf>
    <xf numFmtId="0" fontId="25" fillId="45" borderId="10" xfId="0" applyFont="1" applyFill="1" applyBorder="1" applyAlignment="1">
      <alignment horizontal="center" vertical="center" wrapText="1"/>
    </xf>
    <xf numFmtId="49" fontId="25" fillId="45" borderId="10" xfId="0" applyNumberFormat="1" applyFont="1" applyFill="1" applyBorder="1" applyAlignment="1">
      <alignment horizontal="center"/>
    </xf>
    <xf numFmtId="164" fontId="25" fillId="45" borderId="10" xfId="62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 vertical="center" wrapText="1" shrinkToFit="1"/>
    </xf>
    <xf numFmtId="0" fontId="20" fillId="45" borderId="10" xfId="0" applyFont="1" applyFill="1" applyBorder="1" applyAlignment="1">
      <alignment horizontal="center" vertical="center" wrapText="1"/>
    </xf>
    <xf numFmtId="49" fontId="20" fillId="45" borderId="10" xfId="0" applyNumberFormat="1" applyFont="1" applyFill="1" applyBorder="1" applyAlignment="1">
      <alignment horizontal="center"/>
    </xf>
    <xf numFmtId="49" fontId="18" fillId="45" borderId="10" xfId="0" applyNumberFormat="1" applyFont="1" applyFill="1" applyBorder="1" applyAlignment="1">
      <alignment horizontal="center" vertical="center" wrapText="1" shrinkToFit="1"/>
    </xf>
    <xf numFmtId="164" fontId="20" fillId="45" borderId="10" xfId="62" applyFont="1" applyFill="1" applyBorder="1" applyAlignment="1">
      <alignment/>
    </xf>
    <xf numFmtId="164" fontId="42" fillId="35" borderId="10" xfId="62" applyFont="1" applyFill="1" applyBorder="1" applyAlignment="1">
      <alignment horizontal="center" vertical="center" wrapText="1"/>
    </xf>
    <xf numFmtId="0" fontId="25" fillId="35" borderId="0" xfId="0" applyFont="1" applyFill="1" applyAlignment="1">
      <alignment/>
    </xf>
    <xf numFmtId="49" fontId="19" fillId="41" borderId="10" xfId="0" applyNumberFormat="1" applyFont="1" applyFill="1" applyBorder="1" applyAlignment="1">
      <alignment horizontal="center"/>
    </xf>
    <xf numFmtId="164" fontId="25" fillId="41" borderId="10" xfId="62" applyFont="1" applyFill="1" applyBorder="1" applyAlignment="1">
      <alignment/>
    </xf>
    <xf numFmtId="170" fontId="20" fillId="0" borderId="10" xfId="0" applyNumberFormat="1" applyFont="1" applyBorder="1" applyAlignment="1">
      <alignment/>
    </xf>
    <xf numFmtId="0" fontId="25" fillId="35" borderId="10" xfId="0" applyFont="1" applyFill="1" applyBorder="1" applyAlignment="1">
      <alignment horizontal="center" vertical="center" wrapText="1"/>
    </xf>
    <xf numFmtId="164" fontId="25" fillId="35" borderId="10" xfId="62" applyFont="1" applyFill="1" applyBorder="1" applyAlignment="1">
      <alignment/>
    </xf>
    <xf numFmtId="43" fontId="20" fillId="0" borderId="0" xfId="0" applyNumberFormat="1" applyFont="1" applyAlignment="1">
      <alignment horizontal="center"/>
    </xf>
    <xf numFmtId="49" fontId="20" fillId="0" borderId="10" xfId="0" applyNumberFormat="1" applyFont="1" applyFill="1" applyBorder="1" applyAlignment="1">
      <alignment vertical="center"/>
    </xf>
    <xf numFmtId="164" fontId="25" fillId="46" borderId="10" xfId="62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164" fontId="20" fillId="46" borderId="10" xfId="62" applyFont="1" applyFill="1" applyBorder="1" applyAlignment="1">
      <alignment/>
    </xf>
    <xf numFmtId="0" fontId="43" fillId="46" borderId="10" xfId="0" applyFont="1" applyFill="1" applyBorder="1" applyAlignment="1">
      <alignment/>
    </xf>
    <xf numFmtId="164" fontId="20" fillId="0" borderId="0" xfId="62" applyFont="1" applyFill="1" applyAlignment="1">
      <alignment/>
    </xf>
    <xf numFmtId="164" fontId="25" fillId="0" borderId="0" xfId="62" applyFont="1" applyFill="1" applyAlignment="1">
      <alignment/>
    </xf>
    <xf numFmtId="164" fontId="25" fillId="0" borderId="0" xfId="0" applyNumberFormat="1" applyFont="1" applyAlignment="1">
      <alignment/>
    </xf>
    <xf numFmtId="49" fontId="18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49" fontId="42" fillId="35" borderId="10" xfId="0" applyNumberFormat="1" applyFont="1" applyFill="1" applyBorder="1" applyAlignment="1">
      <alignment horizontal="center" vertical="center" wrapText="1" shrinkToFit="1"/>
    </xf>
    <xf numFmtId="164" fontId="18" fillId="0" borderId="10" xfId="62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49" fontId="17" fillId="35" borderId="10" xfId="0" applyNumberFormat="1" applyFont="1" applyFill="1" applyBorder="1" applyAlignment="1">
      <alignment horizontal="center" vertical="center" wrapText="1" shrinkToFit="1"/>
    </xf>
    <xf numFmtId="164" fontId="17" fillId="35" borderId="10" xfId="62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38" borderId="10" xfId="0" applyFont="1" applyFill="1" applyBorder="1" applyAlignment="1">
      <alignment horizontal="center" vertical="center" wrapText="1"/>
    </xf>
    <xf numFmtId="43" fontId="18" fillId="43" borderId="10" xfId="62" applyNumberFormat="1" applyFont="1" applyFill="1" applyBorder="1" applyAlignment="1">
      <alignment horizontal="center" vertical="center" wrapText="1"/>
    </xf>
    <xf numFmtId="164" fontId="0" fillId="0" borderId="0" xfId="62" applyFont="1" applyAlignment="1">
      <alignment/>
    </xf>
    <xf numFmtId="0" fontId="25" fillId="0" borderId="10" xfId="0" applyFont="1" applyBorder="1" applyAlignment="1">
      <alignment wrapText="1"/>
    </xf>
    <xf numFmtId="1" fontId="44" fillId="34" borderId="10" xfId="0" applyNumberFormat="1" applyFont="1" applyFill="1" applyBorder="1" applyAlignment="1">
      <alignment horizontal="right"/>
    </xf>
    <xf numFmtId="0" fontId="25" fillId="33" borderId="10" xfId="0" applyFont="1" applyFill="1" applyBorder="1" applyAlignment="1">
      <alignment horizontal="center" wrapText="1"/>
    </xf>
    <xf numFmtId="1" fontId="25" fillId="33" borderId="10" xfId="0" applyNumberFormat="1" applyFont="1" applyFill="1" applyBorder="1" applyAlignment="1">
      <alignment horizontal="right"/>
    </xf>
    <xf numFmtId="0" fontId="25" fillId="33" borderId="10" xfId="0" applyFont="1" applyFill="1" applyBorder="1" applyAlignment="1">
      <alignment horizontal="right"/>
    </xf>
    <xf numFmtId="9" fontId="25" fillId="33" borderId="10" xfId="59" applyFont="1" applyFill="1" applyBorder="1" applyAlignment="1">
      <alignment horizontal="right"/>
    </xf>
    <xf numFmtId="1" fontId="25" fillId="47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1" fontId="44" fillId="0" borderId="10" xfId="0" applyNumberFormat="1" applyFont="1" applyBorder="1" applyAlignment="1">
      <alignment horizontal="right"/>
    </xf>
    <xf numFmtId="164" fontId="25" fillId="34" borderId="10" xfId="62" applyFont="1" applyFill="1" applyBorder="1" applyAlignment="1">
      <alignment horizontal="right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1" fontId="44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center"/>
    </xf>
    <xf numFmtId="1" fontId="45" fillId="0" borderId="10" xfId="0" applyNumberFormat="1" applyFont="1" applyBorder="1" applyAlignment="1">
      <alignment horizontal="right"/>
    </xf>
    <xf numFmtId="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20" fillId="34" borderId="10" xfId="0" applyFont="1" applyFill="1" applyBorder="1" applyAlignment="1">
      <alignment/>
    </xf>
    <xf numFmtId="164" fontId="44" fillId="0" borderId="10" xfId="62" applyFont="1" applyBorder="1" applyAlignment="1">
      <alignment horizontal="right"/>
    </xf>
    <xf numFmtId="0" fontId="25" fillId="34" borderId="10" xfId="0" applyFont="1" applyFill="1" applyBorder="1" applyAlignment="1">
      <alignment horizontal="right"/>
    </xf>
    <xf numFmtId="0" fontId="20" fillId="35" borderId="10" xfId="0" applyFont="1" applyFill="1" applyBorder="1" applyAlignment="1">
      <alignment horizontal="center" wrapText="1"/>
    </xf>
    <xf numFmtId="0" fontId="20" fillId="35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right"/>
    </xf>
    <xf numFmtId="164" fontId="25" fillId="35" borderId="10" xfId="62" applyFont="1" applyFill="1" applyBorder="1" applyAlignment="1">
      <alignment horizontal="right"/>
    </xf>
    <xf numFmtId="0" fontId="20" fillId="34" borderId="10" xfId="0" applyFont="1" applyFill="1" applyBorder="1" applyAlignment="1">
      <alignment horizontal="center" wrapText="1"/>
    </xf>
    <xf numFmtId="0" fontId="20" fillId="34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right"/>
    </xf>
    <xf numFmtId="0" fontId="25" fillId="0" borderId="10" xfId="0" applyFont="1" applyBorder="1" applyAlignment="1">
      <alignment horizontal="right"/>
    </xf>
    <xf numFmtId="0" fontId="44" fillId="34" borderId="10" xfId="0" applyFont="1" applyFill="1" applyBorder="1" applyAlignment="1">
      <alignment horizontal="right"/>
    </xf>
    <xf numFmtId="0" fontId="25" fillId="35" borderId="10" xfId="0" applyFont="1" applyFill="1" applyBorder="1" applyAlignment="1">
      <alignment wrapText="1"/>
    </xf>
    <xf numFmtId="0" fontId="45" fillId="34" borderId="10" xfId="0" applyFont="1" applyFill="1" applyBorder="1" applyAlignment="1">
      <alignment horizontal="right"/>
    </xf>
    <xf numFmtId="0" fontId="20" fillId="40" borderId="10" xfId="0" applyFont="1" applyFill="1" applyBorder="1" applyAlignment="1">
      <alignment horizontal="center" wrapText="1"/>
    </xf>
    <xf numFmtId="0" fontId="20" fillId="40" borderId="10" xfId="0" applyFont="1" applyFill="1" applyBorder="1" applyAlignment="1">
      <alignment/>
    </xf>
    <xf numFmtId="0" fontId="20" fillId="39" borderId="10" xfId="0" applyFont="1" applyFill="1" applyBorder="1" applyAlignment="1">
      <alignment wrapText="1"/>
    </xf>
    <xf numFmtId="164" fontId="25" fillId="33" borderId="10" xfId="62" applyFont="1" applyFill="1" applyBorder="1" applyAlignment="1">
      <alignment horizontal="right"/>
    </xf>
    <xf numFmtId="0" fontId="44" fillId="35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horizontal="right"/>
    </xf>
    <xf numFmtId="164" fontId="20" fillId="34" borderId="10" xfId="62" applyFont="1" applyFill="1" applyBorder="1" applyAlignment="1">
      <alignment horizontal="right"/>
    </xf>
    <xf numFmtId="43" fontId="25" fillId="33" borderId="10" xfId="0" applyNumberFormat="1" applyFont="1" applyFill="1" applyBorder="1" applyAlignment="1">
      <alignment horizontal="right"/>
    </xf>
    <xf numFmtId="164" fontId="25" fillId="47" borderId="10" xfId="62" applyFont="1" applyFill="1" applyBorder="1" applyAlignment="1">
      <alignment horizontal="right"/>
    </xf>
    <xf numFmtId="0" fontId="44" fillId="42" borderId="10" xfId="0" applyFont="1" applyFill="1" applyBorder="1" applyAlignment="1">
      <alignment wrapText="1"/>
    </xf>
    <xf numFmtId="0" fontId="89" fillId="34" borderId="10" xfId="0" applyFont="1" applyFill="1" applyBorder="1" applyAlignment="1">
      <alignment/>
    </xf>
    <xf numFmtId="0" fontId="90" fillId="34" borderId="10" xfId="0" applyFont="1" applyFill="1" applyBorder="1" applyAlignment="1">
      <alignment horizontal="right"/>
    </xf>
    <xf numFmtId="167" fontId="25" fillId="0" borderId="10" xfId="62" applyNumberFormat="1" applyFont="1" applyBorder="1" applyAlignment="1">
      <alignment/>
    </xf>
    <xf numFmtId="0" fontId="20" fillId="0" borderId="10" xfId="0" applyNumberFormat="1" applyFont="1" applyBorder="1" applyAlignment="1">
      <alignment/>
    </xf>
    <xf numFmtId="0" fontId="20" fillId="0" borderId="10" xfId="62" applyNumberFormat="1" applyFont="1" applyBorder="1" applyAlignment="1">
      <alignment/>
    </xf>
    <xf numFmtId="9" fontId="18" fillId="0" borderId="0" xfId="59" applyFont="1" applyAlignment="1">
      <alignment/>
    </xf>
    <xf numFmtId="2" fontId="0" fillId="0" borderId="10" xfId="62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43" fontId="20" fillId="0" borderId="0" xfId="0" applyNumberFormat="1" applyFont="1" applyFill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62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5" fillId="35" borderId="10" xfId="0" applyFont="1" applyFill="1" applyBorder="1" applyAlignment="1">
      <alignment horizontal="center" wrapText="1"/>
    </xf>
    <xf numFmtId="0" fontId="15" fillId="34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wrapText="1"/>
    </xf>
    <xf numFmtId="0" fontId="41" fillId="0" borderId="0" xfId="0" applyFont="1" applyFill="1" applyAlignment="1">
      <alignment/>
    </xf>
    <xf numFmtId="0" fontId="41" fillId="35" borderId="10" xfId="0" applyFont="1" applyFill="1" applyBorder="1" applyAlignment="1">
      <alignment wrapText="1"/>
    </xf>
    <xf numFmtId="0" fontId="41" fillId="0" borderId="10" xfId="0" applyFont="1" applyFill="1" applyBorder="1" applyAlignment="1">
      <alignment horizontal="center" wrapText="1"/>
    </xf>
    <xf numFmtId="0" fontId="15" fillId="40" borderId="10" xfId="0" applyFont="1" applyFill="1" applyBorder="1" applyAlignment="1">
      <alignment horizontal="center" wrapText="1"/>
    </xf>
    <xf numFmtId="43" fontId="15" fillId="0" borderId="0" xfId="0" applyNumberFormat="1" applyFont="1" applyAlignment="1">
      <alignment/>
    </xf>
    <xf numFmtId="0" fontId="15" fillId="0" borderId="10" xfId="0" applyFont="1" applyFill="1" applyBorder="1" applyAlignment="1">
      <alignment wrapText="1"/>
    </xf>
    <xf numFmtId="0" fontId="15" fillId="0" borderId="0" xfId="0" applyFont="1" applyFill="1" applyAlignment="1">
      <alignment/>
    </xf>
    <xf numFmtId="0" fontId="41" fillId="0" borderId="10" xfId="0" applyFont="1" applyBorder="1" applyAlignment="1">
      <alignment wrapText="1"/>
    </xf>
    <xf numFmtId="0" fontId="15" fillId="0" borderId="0" xfId="0" applyFont="1" applyAlignment="1">
      <alignment horizontal="center" wrapText="1"/>
    </xf>
    <xf numFmtId="164" fontId="15" fillId="0" borderId="0" xfId="64" applyFont="1" applyAlignment="1">
      <alignment wrapText="1"/>
    </xf>
    <xf numFmtId="164" fontId="15" fillId="34" borderId="0" xfId="64" applyFont="1" applyFill="1" applyAlignment="1">
      <alignment wrapText="1"/>
    </xf>
    <xf numFmtId="164" fontId="15" fillId="0" borderId="0" xfId="0" applyNumberFormat="1" applyFont="1" applyAlignment="1">
      <alignment/>
    </xf>
    <xf numFmtId="10" fontId="15" fillId="0" borderId="0" xfId="0" applyNumberFormat="1" applyFont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39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0" fontId="41" fillId="34" borderId="10" xfId="0" applyFont="1" applyFill="1" applyBorder="1" applyAlignment="1">
      <alignment horizontal="right" vertical="center"/>
    </xf>
    <xf numFmtId="0" fontId="15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right" vertical="center"/>
    </xf>
    <xf numFmtId="0" fontId="15" fillId="34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right" vertical="center"/>
    </xf>
    <xf numFmtId="0" fontId="15" fillId="34" borderId="10" xfId="0" applyFont="1" applyFill="1" applyBorder="1" applyAlignment="1">
      <alignment horizontal="right" vertical="center"/>
    </xf>
    <xf numFmtId="0" fontId="41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40" borderId="10" xfId="0" applyFont="1" applyFill="1" applyBorder="1" applyAlignment="1">
      <alignment horizontal="center" vertical="center"/>
    </xf>
    <xf numFmtId="0" fontId="15" fillId="40" borderId="10" xfId="0" applyFont="1" applyFill="1" applyBorder="1" applyAlignment="1">
      <alignment vertical="center"/>
    </xf>
    <xf numFmtId="164" fontId="41" fillId="33" borderId="10" xfId="62" applyFont="1" applyFill="1" applyBorder="1" applyAlignment="1">
      <alignment vertical="center"/>
    </xf>
    <xf numFmtId="177" fontId="41" fillId="33" borderId="10" xfId="0" applyNumberFormat="1" applyFont="1" applyFill="1" applyBorder="1" applyAlignment="1">
      <alignment horizontal="right" vertical="center"/>
    </xf>
    <xf numFmtId="0" fontId="41" fillId="33" borderId="10" xfId="0" applyFont="1" applyFill="1" applyBorder="1" applyAlignment="1">
      <alignment horizontal="right" vertical="center"/>
    </xf>
    <xf numFmtId="0" fontId="15" fillId="33" borderId="10" xfId="0" applyFont="1" applyFill="1" applyBorder="1" applyAlignment="1">
      <alignment vertical="center"/>
    </xf>
    <xf numFmtId="2" fontId="15" fillId="33" borderId="10" xfId="0" applyNumberFormat="1" applyFont="1" applyFill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164" fontId="41" fillId="34" borderId="10" xfId="62" applyFont="1" applyFill="1" applyBorder="1" applyAlignment="1">
      <alignment horizontal="right" vertical="center"/>
    </xf>
    <xf numFmtId="164" fontId="15" fillId="0" borderId="10" xfId="62" applyFont="1" applyBorder="1" applyAlignment="1">
      <alignment horizontal="right" vertical="center"/>
    </xf>
    <xf numFmtId="164" fontId="41" fillId="35" borderId="10" xfId="62" applyFont="1" applyFill="1" applyBorder="1" applyAlignment="1">
      <alignment horizontal="right" vertical="center"/>
    </xf>
    <xf numFmtId="164" fontId="41" fillId="0" borderId="10" xfId="62" applyFont="1" applyFill="1" applyBorder="1" applyAlignment="1">
      <alignment horizontal="right" vertical="center"/>
    </xf>
    <xf numFmtId="164" fontId="15" fillId="34" borderId="10" xfId="62" applyFont="1" applyFill="1" applyBorder="1" applyAlignment="1">
      <alignment horizontal="right" vertical="center"/>
    </xf>
    <xf numFmtId="164" fontId="15" fillId="34" borderId="10" xfId="62" applyFont="1" applyFill="1" applyBorder="1" applyAlignment="1">
      <alignment vertical="center"/>
    </xf>
    <xf numFmtId="164" fontId="41" fillId="33" borderId="10" xfId="62" applyFont="1" applyFill="1" applyBorder="1" applyAlignment="1">
      <alignment horizontal="right" vertical="center"/>
    </xf>
    <xf numFmtId="164" fontId="15" fillId="0" borderId="10" xfId="62" applyFont="1" applyBorder="1" applyAlignment="1">
      <alignment vertical="center"/>
    </xf>
    <xf numFmtId="164" fontId="15" fillId="33" borderId="10" xfId="62" applyFont="1" applyFill="1" applyBorder="1" applyAlignment="1">
      <alignment vertical="center"/>
    </xf>
    <xf numFmtId="164" fontId="15" fillId="0" borderId="10" xfId="62" applyFont="1" applyFill="1" applyBorder="1" applyAlignment="1">
      <alignment vertical="center"/>
    </xf>
    <xf numFmtId="0" fontId="15" fillId="34" borderId="0" xfId="0" applyFont="1" applyFill="1" applyAlignment="1">
      <alignment wrapText="1"/>
    </xf>
    <xf numFmtId="1" fontId="41" fillId="33" borderId="10" xfId="0" applyNumberFormat="1" applyFont="1" applyFill="1" applyBorder="1" applyAlignment="1">
      <alignment horizontal="right" vertical="center"/>
    </xf>
    <xf numFmtId="9" fontId="41" fillId="33" borderId="10" xfId="59" applyFont="1" applyFill="1" applyBorder="1" applyAlignment="1">
      <alignment horizontal="right" vertical="center"/>
    </xf>
    <xf numFmtId="1" fontId="15" fillId="34" borderId="10" xfId="0" applyNumberFormat="1" applyFont="1" applyFill="1" applyBorder="1" applyAlignment="1">
      <alignment horizontal="right" vertical="center"/>
    </xf>
    <xf numFmtId="0" fontId="41" fillId="0" borderId="13" xfId="0" applyFont="1" applyBorder="1" applyAlignment="1">
      <alignment wrapText="1"/>
    </xf>
    <xf numFmtId="0" fontId="41" fillId="0" borderId="14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1" fontId="41" fillId="0" borderId="10" xfId="0" applyNumberFormat="1" applyFont="1" applyBorder="1" applyAlignment="1">
      <alignment horizontal="right" vertical="center"/>
    </xf>
    <xf numFmtId="164" fontId="41" fillId="0" borderId="10" xfId="62" applyFont="1" applyBorder="1" applyAlignment="1">
      <alignment horizontal="right" vertical="center"/>
    </xf>
    <xf numFmtId="0" fontId="41" fillId="0" borderId="10" xfId="0" applyFont="1" applyBorder="1" applyAlignment="1">
      <alignment horizontal="right" vertical="center"/>
    </xf>
    <xf numFmtId="0" fontId="41" fillId="33" borderId="10" xfId="0" applyFont="1" applyFill="1" applyBorder="1" applyAlignment="1">
      <alignment horizontal="center" vertical="center"/>
    </xf>
    <xf numFmtId="43" fontId="41" fillId="0" borderId="0" xfId="0" applyNumberFormat="1" applyFont="1" applyAlignment="1">
      <alignment/>
    </xf>
    <xf numFmtId="0" fontId="41" fillId="0" borderId="10" xfId="0" applyFont="1" applyFill="1" applyBorder="1" applyAlignment="1">
      <alignment vertical="center"/>
    </xf>
    <xf numFmtId="164" fontId="41" fillId="0" borderId="10" xfId="62" applyFont="1" applyBorder="1" applyAlignment="1">
      <alignment vertical="center"/>
    </xf>
    <xf numFmtId="43" fontId="41" fillId="33" borderId="10" xfId="0" applyNumberFormat="1" applyFont="1" applyFill="1" applyBorder="1" applyAlignment="1">
      <alignment horizontal="right"/>
    </xf>
    <xf numFmtId="164" fontId="42" fillId="6" borderId="10" xfId="62" applyFont="1" applyFill="1" applyBorder="1" applyAlignment="1">
      <alignment horizontal="center" vertical="center" wrapText="1"/>
    </xf>
    <xf numFmtId="178" fontId="41" fillId="0" borderId="0" xfId="0" applyNumberFormat="1" applyFont="1" applyAlignment="1">
      <alignment/>
    </xf>
    <xf numFmtId="164" fontId="20" fillId="0" borderId="10" xfId="62" applyFont="1" applyBorder="1" applyAlignment="1">
      <alignment vertical="center"/>
    </xf>
    <xf numFmtId="164" fontId="91" fillId="0" borderId="10" xfId="62" applyFont="1" applyBorder="1" applyAlignment="1">
      <alignment vertical="center"/>
    </xf>
    <xf numFmtId="164" fontId="92" fillId="0" borderId="10" xfId="62" applyFont="1" applyBorder="1" applyAlignment="1">
      <alignment vertical="center"/>
    </xf>
    <xf numFmtId="164" fontId="92" fillId="0" borderId="10" xfId="62" applyFont="1" applyFill="1" applyBorder="1" applyAlignment="1">
      <alignment/>
    </xf>
    <xf numFmtId="164" fontId="93" fillId="0" borderId="10" xfId="62" applyFont="1" applyFill="1" applyBorder="1" applyAlignment="1">
      <alignment horizontal="center" vertical="center" wrapText="1"/>
    </xf>
    <xf numFmtId="43" fontId="25" fillId="35" borderId="0" xfId="0" applyNumberFormat="1" applyFont="1" applyFill="1" applyAlignment="1">
      <alignment/>
    </xf>
    <xf numFmtId="164" fontId="18" fillId="0" borderId="10" xfId="62" applyFont="1" applyFill="1" applyBorder="1" applyAlignment="1">
      <alignment/>
    </xf>
    <xf numFmtId="164" fontId="17" fillId="0" borderId="10" xfId="62" applyFont="1" applyFill="1" applyBorder="1" applyAlignment="1">
      <alignment/>
    </xf>
    <xf numFmtId="43" fontId="18" fillId="0" borderId="10" xfId="62" applyNumberFormat="1" applyFont="1" applyFill="1" applyBorder="1" applyAlignment="1">
      <alignment horizontal="center" vertical="center" wrapText="1"/>
    </xf>
    <xf numFmtId="43" fontId="17" fillId="0" borderId="10" xfId="62" applyNumberFormat="1" applyFont="1" applyFill="1" applyBorder="1" applyAlignment="1">
      <alignment horizontal="center" vertical="center" wrapText="1"/>
    </xf>
    <xf numFmtId="164" fontId="0" fillId="0" borderId="10" xfId="62" applyFont="1" applyFill="1" applyBorder="1" applyAlignment="1">
      <alignment wrapText="1"/>
    </xf>
    <xf numFmtId="164" fontId="0" fillId="0" borderId="10" xfId="62" applyFont="1" applyFill="1" applyBorder="1" applyAlignment="1">
      <alignment/>
    </xf>
    <xf numFmtId="164" fontId="0" fillId="0" borderId="10" xfId="62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4" fontId="17" fillId="0" borderId="0" xfId="62" applyFont="1" applyAlignment="1">
      <alignment/>
    </xf>
    <xf numFmtId="168" fontId="18" fillId="0" borderId="0" xfId="59" applyNumberFormat="1" applyFont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164" fontId="20" fillId="0" borderId="0" xfId="0" applyNumberFormat="1" applyFont="1" applyFill="1" applyAlignment="1">
      <alignment/>
    </xf>
    <xf numFmtId="164" fontId="20" fillId="0" borderId="0" xfId="62" applyFont="1" applyFill="1" applyAlignment="1">
      <alignment horizontal="center"/>
    </xf>
    <xf numFmtId="49" fontId="20" fillId="0" borderId="0" xfId="0" applyNumberFormat="1" applyFont="1" applyFill="1" applyAlignment="1">
      <alignment horizontal="center"/>
    </xf>
    <xf numFmtId="49" fontId="20" fillId="0" borderId="0" xfId="0" applyNumberFormat="1" applyFont="1" applyFill="1" applyAlignment="1">
      <alignment horizontal="left"/>
    </xf>
    <xf numFmtId="49" fontId="20" fillId="0" borderId="10" xfId="0" applyNumberFormat="1" applyFont="1" applyFill="1" applyBorder="1" applyAlignment="1">
      <alignment horizontal="center" vertical="center" shrinkToFit="1"/>
    </xf>
    <xf numFmtId="2" fontId="20" fillId="0" borderId="0" xfId="62" applyNumberFormat="1" applyFont="1" applyFill="1" applyAlignment="1">
      <alignment horizontal="center"/>
    </xf>
    <xf numFmtId="9" fontId="42" fillId="0" borderId="10" xfId="59" applyFont="1" applyFill="1" applyBorder="1" applyAlignment="1">
      <alignment horizontal="center" vertical="center" wrapText="1"/>
    </xf>
    <xf numFmtId="9" fontId="25" fillId="35" borderId="10" xfId="59" applyFont="1" applyFill="1" applyBorder="1" applyAlignment="1">
      <alignment/>
    </xf>
    <xf numFmtId="9" fontId="18" fillId="0" borderId="10" xfId="59" applyFont="1" applyBorder="1" applyAlignment="1">
      <alignment horizontal="right"/>
    </xf>
    <xf numFmtId="9" fontId="18" fillId="0" borderId="10" xfId="59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18" fillId="6" borderId="10" xfId="0" applyFont="1" applyFill="1" applyBorder="1" applyAlignment="1">
      <alignment horizontal="center" vertical="center" wrapText="1"/>
    </xf>
    <xf numFmtId="49" fontId="20" fillId="6" borderId="10" xfId="0" applyNumberFormat="1" applyFont="1" applyFill="1" applyBorder="1" applyAlignment="1">
      <alignment horizontal="center" vertical="center" wrapText="1"/>
    </xf>
    <xf numFmtId="49" fontId="18" fillId="6" borderId="10" xfId="0" applyNumberFormat="1" applyFont="1" applyFill="1" applyBorder="1" applyAlignment="1">
      <alignment horizontal="center" vertical="center" wrapText="1" shrinkToFit="1"/>
    </xf>
    <xf numFmtId="164" fontId="18" fillId="6" borderId="10" xfId="62" applyFont="1" applyFill="1" applyBorder="1" applyAlignment="1">
      <alignment horizontal="center" vertical="center" wrapText="1"/>
    </xf>
    <xf numFmtId="9" fontId="18" fillId="6" borderId="10" xfId="59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164" fontId="20" fillId="6" borderId="10" xfId="62" applyFont="1" applyFill="1" applyBorder="1" applyAlignment="1">
      <alignment horizontal="center" vertical="center" wrapText="1"/>
    </xf>
    <xf numFmtId="49" fontId="18" fillId="6" borderId="10" xfId="0" applyNumberFormat="1" applyFont="1" applyFill="1" applyBorder="1" applyAlignment="1">
      <alignment horizontal="center" vertical="top" shrinkToFit="1"/>
    </xf>
    <xf numFmtId="49" fontId="20" fillId="0" borderId="0" xfId="0" applyNumberFormat="1" applyFont="1" applyFill="1" applyBorder="1" applyAlignment="1">
      <alignment horizontal="left" vertical="center"/>
    </xf>
    <xf numFmtId="0" fontId="16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49" fontId="20" fillId="33" borderId="10" xfId="0" applyNumberFormat="1" applyFont="1" applyFill="1" applyBorder="1" applyAlignment="1">
      <alignment horizontal="center"/>
    </xf>
    <xf numFmtId="164" fontId="20" fillId="33" borderId="10" xfId="62" applyNumberFormat="1" applyFont="1" applyFill="1" applyBorder="1" applyAlignment="1">
      <alignment horizontal="center" vertical="center" wrapText="1"/>
    </xf>
    <xf numFmtId="9" fontId="18" fillId="44" borderId="10" xfId="59" applyFont="1" applyFill="1" applyBorder="1" applyAlignment="1">
      <alignment horizontal="center" vertical="center" wrapText="1"/>
    </xf>
    <xf numFmtId="164" fontId="20" fillId="0" borderId="10" xfId="62" applyNumberFormat="1" applyFont="1" applyFill="1" applyBorder="1" applyAlignment="1">
      <alignment horizontal="center" vertical="center" wrapText="1"/>
    </xf>
    <xf numFmtId="43" fontId="21" fillId="0" borderId="0" xfId="0" applyNumberFormat="1" applyFont="1" applyAlignment="1">
      <alignment/>
    </xf>
    <xf numFmtId="9" fontId="0" fillId="0" borderId="10" xfId="59" applyFont="1" applyFill="1" applyBorder="1" applyAlignment="1">
      <alignment wrapText="1"/>
    </xf>
    <xf numFmtId="9" fontId="14" fillId="33" borderId="10" xfId="59" applyFont="1" applyFill="1" applyBorder="1" applyAlignment="1">
      <alignment wrapText="1"/>
    </xf>
    <xf numFmtId="9" fontId="0" fillId="0" borderId="10" xfId="59" applyFont="1" applyFill="1" applyBorder="1" applyAlignment="1">
      <alignment horizontal="center"/>
    </xf>
    <xf numFmtId="9" fontId="41" fillId="47" borderId="10" xfId="59" applyFont="1" applyFill="1" applyBorder="1" applyAlignment="1">
      <alignment horizontal="right"/>
    </xf>
    <xf numFmtId="0" fontId="15" fillId="0" borderId="10" xfId="0" applyFont="1" applyFill="1" applyBorder="1" applyAlignment="1">
      <alignment vertical="center" wrapText="1"/>
    </xf>
    <xf numFmtId="49" fontId="15" fillId="0" borderId="10" xfId="0" applyNumberFormat="1" applyFont="1" applyBorder="1" applyAlignment="1">
      <alignment horizontal="center" wrapText="1"/>
    </xf>
    <xf numFmtId="0" fontId="15" fillId="42" borderId="10" xfId="0" applyFont="1" applyFill="1" applyBorder="1" applyAlignment="1">
      <alignment horizontal="center" wrapText="1"/>
    </xf>
    <xf numFmtId="0" fontId="15" fillId="42" borderId="10" xfId="0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vertical="center"/>
    </xf>
    <xf numFmtId="9" fontId="41" fillId="42" borderId="10" xfId="59" applyFont="1" applyFill="1" applyBorder="1" applyAlignment="1">
      <alignment horizontal="right" vertical="center"/>
    </xf>
    <xf numFmtId="164" fontId="15" fillId="42" borderId="10" xfId="62" applyFont="1" applyFill="1" applyBorder="1" applyAlignment="1">
      <alignment vertical="center"/>
    </xf>
    <xf numFmtId="0" fontId="15" fillId="44" borderId="10" xfId="0" applyFont="1" applyFill="1" applyBorder="1" applyAlignment="1">
      <alignment horizontal="center" vertical="center"/>
    </xf>
    <xf numFmtId="0" fontId="15" fillId="44" borderId="10" xfId="0" applyFont="1" applyFill="1" applyBorder="1" applyAlignment="1">
      <alignment vertical="center"/>
    </xf>
    <xf numFmtId="9" fontId="41" fillId="44" borderId="10" xfId="59" applyFont="1" applyFill="1" applyBorder="1" applyAlignment="1">
      <alignment horizontal="right" vertical="center"/>
    </xf>
    <xf numFmtId="164" fontId="15" fillId="44" borderId="10" xfId="62" applyFont="1" applyFill="1" applyBorder="1" applyAlignment="1">
      <alignment vertical="center"/>
    </xf>
    <xf numFmtId="49" fontId="15" fillId="44" borderId="10" xfId="0" applyNumberFormat="1" applyFont="1" applyFill="1" applyBorder="1" applyAlignment="1">
      <alignment horizontal="center" wrapText="1"/>
    </xf>
    <xf numFmtId="9" fontId="19" fillId="0" borderId="10" xfId="59" applyFont="1" applyBorder="1" applyAlignment="1">
      <alignment horizontal="right" vertical="top" wrapText="1"/>
    </xf>
    <xf numFmtId="9" fontId="20" fillId="34" borderId="10" xfId="59" applyFont="1" applyFill="1" applyBorder="1" applyAlignment="1">
      <alignment horizontal="center" vertical="center" wrapText="1"/>
    </xf>
    <xf numFmtId="9" fontId="16" fillId="0" borderId="10" xfId="59" applyFont="1" applyBorder="1" applyAlignment="1">
      <alignment/>
    </xf>
    <xf numFmtId="43" fontId="15" fillId="0" borderId="0" xfId="0" applyNumberFormat="1" applyFont="1" applyAlignment="1">
      <alignment vertical="center"/>
    </xf>
    <xf numFmtId="0" fontId="87" fillId="47" borderId="10" xfId="0" applyFont="1" applyFill="1" applyBorder="1" applyAlignment="1">
      <alignment horizontal="center" vertical="center" wrapText="1"/>
    </xf>
    <xf numFmtId="0" fontId="88" fillId="0" borderId="12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164" fontId="88" fillId="0" borderId="10" xfId="62" applyFont="1" applyFill="1" applyBorder="1" applyAlignment="1">
      <alignment horizontal="center" vertical="center" wrapText="1"/>
    </xf>
    <xf numFmtId="9" fontId="88" fillId="0" borderId="10" xfId="59" applyFont="1" applyFill="1" applyBorder="1" applyAlignment="1">
      <alignment horizontal="center" vertical="center" wrapText="1"/>
    </xf>
    <xf numFmtId="164" fontId="88" fillId="0" borderId="12" xfId="62" applyFont="1" applyFill="1" applyBorder="1" applyAlignment="1">
      <alignment horizontal="center" vertical="center" wrapText="1"/>
    </xf>
    <xf numFmtId="164" fontId="15" fillId="0" borderId="10" xfId="62" applyFont="1" applyFill="1" applyBorder="1" applyAlignment="1">
      <alignment horizontal="center" vertical="center" wrapText="1"/>
    </xf>
    <xf numFmtId="164" fontId="88" fillId="0" borderId="10" xfId="62" applyFont="1" applyFill="1" applyBorder="1" applyAlignment="1">
      <alignment horizontal="center" vertical="center"/>
    </xf>
    <xf numFmtId="164" fontId="94" fillId="0" borderId="0" xfId="62" applyFont="1" applyFill="1" applyAlignment="1">
      <alignment horizontal="center" vertical="center"/>
    </xf>
    <xf numFmtId="164" fontId="87" fillId="47" borderId="10" xfId="62" applyFont="1" applyFill="1" applyBorder="1" applyAlignment="1">
      <alignment horizontal="center" vertical="center" wrapText="1"/>
    </xf>
    <xf numFmtId="164" fontId="87" fillId="47" borderId="10" xfId="62" applyFont="1" applyFill="1" applyBorder="1" applyAlignment="1">
      <alignment horizontal="center" vertical="center"/>
    </xf>
    <xf numFmtId="9" fontId="87" fillId="47" borderId="10" xfId="59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0" fillId="0" borderId="10" xfId="62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right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49" fontId="20" fillId="0" borderId="13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 wrapText="1"/>
    </xf>
    <xf numFmtId="49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0" fillId="0" borderId="13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wrapText="1"/>
    </xf>
    <xf numFmtId="49" fontId="45" fillId="33" borderId="10" xfId="0" applyNumberFormat="1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20" fillId="0" borderId="13" xfId="0" applyFont="1" applyBorder="1" applyAlignment="1">
      <alignment horizontal="left" wrapText="1"/>
    </xf>
    <xf numFmtId="0" fontId="20" fillId="0" borderId="16" xfId="0" applyFont="1" applyBorder="1" applyAlignment="1">
      <alignment horizontal="left" wrapText="1"/>
    </xf>
    <xf numFmtId="49" fontId="44" fillId="0" borderId="10" xfId="0" applyNumberFormat="1" applyFont="1" applyBorder="1" applyAlignment="1">
      <alignment horizontal="center" wrapText="1"/>
    </xf>
    <xf numFmtId="0" fontId="25" fillId="33" borderId="13" xfId="0" applyFont="1" applyFill="1" applyBorder="1" applyAlignment="1">
      <alignment horizontal="center" wrapText="1"/>
    </xf>
    <xf numFmtId="0" fontId="25" fillId="33" borderId="16" xfId="0" applyFont="1" applyFill="1" applyBorder="1" applyAlignment="1">
      <alignment horizontal="center" wrapText="1"/>
    </xf>
    <xf numFmtId="49" fontId="25" fillId="33" borderId="10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49" fontId="20" fillId="40" borderId="10" xfId="0" applyNumberFormat="1" applyFont="1" applyFill="1" applyBorder="1" applyAlignment="1">
      <alignment horizontal="center"/>
    </xf>
    <xf numFmtId="0" fontId="20" fillId="40" borderId="10" xfId="0" applyFont="1" applyFill="1" applyBorder="1" applyAlignment="1">
      <alignment horizontal="center"/>
    </xf>
    <xf numFmtId="49" fontId="20" fillId="34" borderId="1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25" fillId="33" borderId="10" xfId="0" applyFont="1" applyFill="1" applyBorder="1" applyAlignment="1">
      <alignment wrapText="1"/>
    </xf>
    <xf numFmtId="49" fontId="25" fillId="33" borderId="10" xfId="0" applyNumberFormat="1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 wrapText="1"/>
    </xf>
    <xf numFmtId="0" fontId="25" fillId="34" borderId="10" xfId="0" applyFont="1" applyFill="1" applyBorder="1" applyAlignment="1">
      <alignment horizontal="center" wrapText="1"/>
    </xf>
    <xf numFmtId="49" fontId="25" fillId="34" borderId="10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wrapText="1"/>
    </xf>
    <xf numFmtId="0" fontId="25" fillId="0" borderId="16" xfId="0" applyFont="1" applyFill="1" applyBorder="1" applyAlignment="1">
      <alignment wrapText="1"/>
    </xf>
    <xf numFmtId="0" fontId="25" fillId="0" borderId="13" xfId="0" applyFont="1" applyFill="1" applyBorder="1" applyAlignment="1">
      <alignment horizontal="center" wrapText="1"/>
    </xf>
    <xf numFmtId="0" fontId="25" fillId="0" borderId="16" xfId="0" applyFont="1" applyFill="1" applyBorder="1" applyAlignment="1">
      <alignment horizontal="center" wrapText="1"/>
    </xf>
    <xf numFmtId="0" fontId="20" fillId="35" borderId="13" xfId="0" applyFont="1" applyFill="1" applyBorder="1" applyAlignment="1">
      <alignment horizontal="center" wrapText="1"/>
    </xf>
    <xf numFmtId="0" fontId="20" fillId="35" borderId="16" xfId="0" applyFont="1" applyFill="1" applyBorder="1" applyAlignment="1">
      <alignment horizontal="center" wrapText="1"/>
    </xf>
    <xf numFmtId="49" fontId="25" fillId="35" borderId="10" xfId="0" applyNumberFormat="1" applyFont="1" applyFill="1" applyBorder="1" applyAlignment="1">
      <alignment horizontal="center" wrapText="1"/>
    </xf>
    <xf numFmtId="0" fontId="20" fillId="34" borderId="13" xfId="0" applyFont="1" applyFill="1" applyBorder="1" applyAlignment="1">
      <alignment horizontal="center" wrapText="1"/>
    </xf>
    <xf numFmtId="0" fontId="20" fillId="34" borderId="16" xfId="0" applyFont="1" applyFill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0" fontId="25" fillId="0" borderId="13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49" fontId="25" fillId="0" borderId="13" xfId="0" applyNumberFormat="1" applyFont="1" applyBorder="1" applyAlignment="1">
      <alignment horizontal="center" wrapText="1"/>
    </xf>
    <xf numFmtId="49" fontId="25" fillId="0" borderId="14" xfId="0" applyNumberFormat="1" applyFont="1" applyBorder="1" applyAlignment="1">
      <alignment horizontal="center" wrapText="1"/>
    </xf>
    <xf numFmtId="49" fontId="25" fillId="0" borderId="16" xfId="0" applyNumberFormat="1" applyFont="1" applyBorder="1" applyAlignment="1">
      <alignment horizontal="center" wrapText="1"/>
    </xf>
    <xf numFmtId="0" fontId="25" fillId="42" borderId="10" xfId="0" applyFont="1" applyFill="1" applyBorder="1" applyAlignment="1">
      <alignment wrapText="1"/>
    </xf>
    <xf numFmtId="0" fontId="25" fillId="33" borderId="10" xfId="0" applyFont="1" applyFill="1" applyBorder="1" applyAlignment="1">
      <alignment horizontal="center" vertical="center" wrapText="1"/>
    </xf>
    <xf numFmtId="164" fontId="25" fillId="33" borderId="11" xfId="62" applyFont="1" applyFill="1" applyBorder="1" applyAlignment="1">
      <alignment horizontal="center" vertical="center" wrapText="1"/>
    </xf>
    <xf numFmtId="164" fontId="25" fillId="33" borderId="12" xfId="62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49" fontId="15" fillId="44" borderId="13" xfId="0" applyNumberFormat="1" applyFont="1" applyFill="1" applyBorder="1" applyAlignment="1">
      <alignment horizontal="center" vertical="center" wrapText="1"/>
    </xf>
    <xf numFmtId="49" fontId="15" fillId="44" borderId="14" xfId="0" applyNumberFormat="1" applyFont="1" applyFill="1" applyBorder="1" applyAlignment="1">
      <alignment horizontal="center" vertical="center" wrapText="1"/>
    </xf>
    <xf numFmtId="49" fontId="15" fillId="44" borderId="16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49" fontId="15" fillId="33" borderId="10" xfId="0" applyNumberFormat="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164" fontId="41" fillId="33" borderId="11" xfId="6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44" borderId="13" xfId="0" applyFont="1" applyFill="1" applyBorder="1" applyAlignment="1">
      <alignment vertical="center" wrapText="1"/>
    </xf>
    <xf numFmtId="0" fontId="15" fillId="44" borderId="16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wrapText="1"/>
    </xf>
    <xf numFmtId="0" fontId="15" fillId="0" borderId="16" xfId="0" applyFont="1" applyFill="1" applyBorder="1" applyAlignment="1">
      <alignment wrapText="1"/>
    </xf>
    <xf numFmtId="0" fontId="41" fillId="33" borderId="13" xfId="0" applyFont="1" applyFill="1" applyBorder="1" applyAlignment="1">
      <alignment horizontal="right" vertical="center" wrapText="1"/>
    </xf>
    <xf numFmtId="0" fontId="41" fillId="33" borderId="14" xfId="0" applyFont="1" applyFill="1" applyBorder="1" applyAlignment="1">
      <alignment horizontal="right" vertical="center" wrapText="1"/>
    </xf>
    <xf numFmtId="0" fontId="41" fillId="33" borderId="16" xfId="0" applyFont="1" applyFill="1" applyBorder="1" applyAlignment="1">
      <alignment horizontal="right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49" fontId="15" fillId="40" borderId="10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42" borderId="13" xfId="0" applyFont="1" applyFill="1" applyBorder="1" applyAlignment="1">
      <alignment vertical="center" wrapText="1"/>
    </xf>
    <xf numFmtId="0" fontId="15" fillId="42" borderId="16" xfId="0" applyFont="1" applyFill="1" applyBorder="1" applyAlignment="1">
      <alignment vertical="center" wrapText="1"/>
    </xf>
    <xf numFmtId="49" fontId="15" fillId="42" borderId="10" xfId="0" applyNumberFormat="1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vertical="center" wrapText="1"/>
    </xf>
    <xf numFmtId="0" fontId="41" fillId="33" borderId="14" xfId="0" applyFont="1" applyFill="1" applyBorder="1" applyAlignment="1">
      <alignment vertical="center" wrapText="1"/>
    </xf>
    <xf numFmtId="0" fontId="41" fillId="33" borderId="16" xfId="0" applyFont="1" applyFill="1" applyBorder="1" applyAlignment="1">
      <alignment vertical="center" wrapText="1"/>
    </xf>
    <xf numFmtId="0" fontId="41" fillId="34" borderId="10" xfId="0" applyFont="1" applyFill="1" applyBorder="1" applyAlignment="1">
      <alignment horizontal="center" wrapText="1"/>
    </xf>
    <xf numFmtId="49" fontId="41" fillId="34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1" fillId="0" borderId="16" xfId="0" applyFont="1" applyBorder="1" applyAlignment="1">
      <alignment vertical="center" wrapText="1"/>
    </xf>
    <xf numFmtId="0" fontId="15" fillId="35" borderId="13" xfId="0" applyFont="1" applyFill="1" applyBorder="1" applyAlignment="1">
      <alignment horizontal="center" wrapText="1"/>
    </xf>
    <xf numFmtId="0" fontId="15" fillId="35" borderId="16" xfId="0" applyFont="1" applyFill="1" applyBorder="1" applyAlignment="1">
      <alignment horizontal="center" wrapText="1"/>
    </xf>
    <xf numFmtId="49" fontId="41" fillId="35" borderId="10" xfId="0" applyNumberFormat="1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wrapText="1"/>
    </xf>
    <xf numFmtId="0" fontId="15" fillId="34" borderId="16" xfId="0" applyFont="1" applyFill="1" applyBorder="1" applyAlignment="1">
      <alignment horizontal="center" wrapText="1"/>
    </xf>
    <xf numFmtId="0" fontId="41" fillId="0" borderId="13" xfId="0" applyFont="1" applyFill="1" applyBorder="1" applyAlignment="1">
      <alignment vertical="center" wrapText="1"/>
    </xf>
    <xf numFmtId="0" fontId="41" fillId="0" borderId="16" xfId="0" applyFont="1" applyFill="1" applyBorder="1" applyAlignment="1">
      <alignment vertical="center" wrapText="1"/>
    </xf>
    <xf numFmtId="164" fontId="41" fillId="33" borderId="12" xfId="62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 wrapText="1"/>
    </xf>
    <xf numFmtId="0" fontId="41" fillId="0" borderId="16" xfId="0" applyFont="1" applyBorder="1" applyAlignment="1">
      <alignment horizontal="left" wrapText="1"/>
    </xf>
    <xf numFmtId="0" fontId="41" fillId="0" borderId="10" xfId="0" applyFont="1" applyBorder="1" applyAlignment="1">
      <alignment wrapText="1"/>
    </xf>
    <xf numFmtId="49" fontId="41" fillId="0" borderId="13" xfId="0" applyNumberFormat="1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49" fontId="41" fillId="0" borderId="16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/>
    </xf>
    <xf numFmtId="49" fontId="20" fillId="0" borderId="11" xfId="62" applyNumberFormat="1" applyFont="1" applyFill="1" applyBorder="1" applyAlignment="1">
      <alignment horizontal="center" vertical="center" wrapText="1"/>
    </xf>
    <xf numFmtId="49" fontId="20" fillId="0" borderId="12" xfId="62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20" fillId="38" borderId="11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49" fontId="20" fillId="38" borderId="10" xfId="0" applyNumberFormat="1" applyFont="1" applyFill="1" applyBorder="1" applyAlignment="1">
      <alignment horizontal="center" vertical="center" wrapText="1"/>
    </xf>
    <xf numFmtId="49" fontId="20" fillId="0" borderId="10" xfId="62" applyNumberFormat="1" applyFont="1" applyBorder="1" applyAlignment="1">
      <alignment horizontal="center" vertical="center" wrapText="1"/>
    </xf>
    <xf numFmtId="49" fontId="20" fillId="38" borderId="13" xfId="0" applyNumberFormat="1" applyFont="1" applyFill="1" applyBorder="1" applyAlignment="1">
      <alignment horizontal="center" vertical="center" wrapText="1"/>
    </xf>
    <xf numFmtId="49" fontId="20" fillId="38" borderId="16" xfId="0" applyNumberFormat="1" applyFont="1" applyFill="1" applyBorder="1" applyAlignment="1">
      <alignment horizontal="center" vertical="center" wrapText="1"/>
    </xf>
    <xf numFmtId="49" fontId="20" fillId="38" borderId="14" xfId="0" applyNumberFormat="1" applyFont="1" applyFill="1" applyBorder="1" applyAlignment="1">
      <alignment horizontal="center" vertical="center" wrapText="1"/>
    </xf>
    <xf numFmtId="49" fontId="20" fillId="0" borderId="11" xfId="62" applyNumberFormat="1" applyFont="1" applyBorder="1" applyAlignment="1">
      <alignment horizontal="center" vertical="center" wrapText="1"/>
    </xf>
    <xf numFmtId="49" fontId="20" fillId="0" borderId="12" xfId="62" applyNumberFormat="1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 horizontal="center" wrapText="1"/>
    </xf>
    <xf numFmtId="0" fontId="17" fillId="0" borderId="10" xfId="0" applyFont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87" fillId="0" borderId="13" xfId="0" applyFont="1" applyFill="1" applyBorder="1" applyAlignment="1">
      <alignment horizontal="center" vertical="center" wrapText="1"/>
    </xf>
    <xf numFmtId="0" fontId="87" fillId="0" borderId="14" xfId="0" applyFont="1" applyFill="1" applyBorder="1" applyAlignment="1">
      <alignment horizontal="center" vertical="center" wrapText="1"/>
    </xf>
    <xf numFmtId="0" fontId="87" fillId="0" borderId="1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49" fontId="31" fillId="0" borderId="10" xfId="0" applyNumberFormat="1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0" fillId="0" borderId="2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16" xfId="0" applyFont="1" applyBorder="1" applyAlignment="1">
      <alignment wrapText="1"/>
    </xf>
    <xf numFmtId="49" fontId="11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0" fillId="35" borderId="13" xfId="0" applyFont="1" applyFill="1" applyBorder="1" applyAlignment="1">
      <alignment horizontal="center" wrapText="1"/>
    </xf>
    <xf numFmtId="0" fontId="0" fillId="35" borderId="16" xfId="0" applyFont="1" applyFill="1" applyBorder="1" applyAlignment="1">
      <alignment horizontal="center" wrapText="1"/>
    </xf>
    <xf numFmtId="49" fontId="3" fillId="35" borderId="10" xfId="0" applyNumberFormat="1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33" fillId="33" borderId="13" xfId="0" applyFont="1" applyFill="1" applyBorder="1" applyAlignment="1">
      <alignment horizontal="center" wrapText="1"/>
    </xf>
    <xf numFmtId="0" fontId="33" fillId="33" borderId="16" xfId="0" applyFont="1" applyFill="1" applyBorder="1" applyAlignment="1">
      <alignment horizontal="center" wrapText="1"/>
    </xf>
    <xf numFmtId="49" fontId="33" fillId="33" borderId="10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40" borderId="10" xfId="0" applyNumberFormat="1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0" fontId="14" fillId="33" borderId="10" xfId="0" applyFont="1" applyFill="1" applyBorder="1" applyAlignment="1">
      <alignment wrapText="1"/>
    </xf>
    <xf numFmtId="49" fontId="14" fillId="33" borderId="10" xfId="0" applyNumberFormat="1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0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0" fillId="0" borderId="13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center"/>
    </xf>
    <xf numFmtId="49" fontId="87" fillId="42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87" fillId="42" borderId="11" xfId="53" applyFont="1" applyFill="1" applyBorder="1" applyAlignment="1">
      <alignment horizontal="center" vertical="center" wrapText="1"/>
      <protection/>
    </xf>
    <xf numFmtId="0" fontId="87" fillId="42" borderId="12" xfId="53" applyFont="1" applyFill="1" applyBorder="1" applyAlignment="1">
      <alignment horizontal="center" vertical="center" wrapText="1"/>
      <protection/>
    </xf>
    <xf numFmtId="0" fontId="87" fillId="42" borderId="0" xfId="53" applyFont="1" applyFill="1" applyAlignment="1">
      <alignment horizontal="center" vertical="center"/>
      <protection/>
    </xf>
    <xf numFmtId="49" fontId="41" fillId="42" borderId="11" xfId="53" applyNumberFormat="1" applyFont="1" applyFill="1" applyBorder="1" applyAlignment="1">
      <alignment horizontal="center" vertical="center" wrapText="1"/>
      <protection/>
    </xf>
    <xf numFmtId="49" fontId="41" fillId="42" borderId="12" xfId="53" applyNumberFormat="1" applyFont="1" applyFill="1" applyBorder="1" applyAlignment="1">
      <alignment horizontal="center" vertical="center" wrapText="1"/>
      <protection/>
    </xf>
    <xf numFmtId="0" fontId="41" fillId="42" borderId="11" xfId="53" applyFont="1" applyFill="1" applyBorder="1" applyAlignment="1">
      <alignment horizontal="center" vertical="center" wrapText="1"/>
      <protection/>
    </xf>
    <xf numFmtId="0" fontId="41" fillId="42" borderId="12" xfId="53" applyFont="1" applyFill="1" applyBorder="1" applyAlignment="1">
      <alignment horizontal="center" vertical="center" wrapText="1"/>
      <protection/>
    </xf>
    <xf numFmtId="0" fontId="87" fillId="42" borderId="13" xfId="53" applyFont="1" applyFill="1" applyBorder="1" applyAlignment="1">
      <alignment horizontal="center" vertical="center"/>
      <protection/>
    </xf>
    <xf numFmtId="0" fontId="87" fillId="42" borderId="14" xfId="53" applyFont="1" applyFill="1" applyBorder="1" applyAlignment="1">
      <alignment horizontal="center" vertical="center"/>
      <protection/>
    </xf>
    <xf numFmtId="0" fontId="87" fillId="42" borderId="16" xfId="53" applyFont="1" applyFill="1" applyBorder="1" applyAlignment="1">
      <alignment horizontal="center" vertical="center"/>
      <protection/>
    </xf>
    <xf numFmtId="0" fontId="88" fillId="42" borderId="10" xfId="53" applyFont="1" applyFill="1" applyBorder="1" applyAlignment="1">
      <alignment horizontal="center" vertical="center" wrapText="1"/>
      <protection/>
    </xf>
    <xf numFmtId="0" fontId="88" fillId="42" borderId="11" xfId="53" applyFont="1" applyFill="1" applyBorder="1" applyAlignment="1">
      <alignment horizontal="center" vertical="center" wrapText="1"/>
      <protection/>
    </xf>
    <xf numFmtId="0" fontId="88" fillId="42" borderId="15" xfId="53" applyFont="1" applyFill="1" applyBorder="1" applyAlignment="1">
      <alignment horizontal="center" vertical="center" wrapText="1"/>
      <protection/>
    </xf>
    <xf numFmtId="0" fontId="88" fillId="42" borderId="12" xfId="53" applyFont="1" applyFill="1" applyBorder="1" applyAlignment="1">
      <alignment horizontal="center" vertical="center" wrapText="1"/>
      <protection/>
    </xf>
    <xf numFmtId="49" fontId="87" fillId="42" borderId="11" xfId="53" applyNumberFormat="1" applyFont="1" applyFill="1" applyBorder="1" applyAlignment="1">
      <alignment horizontal="center" vertical="center" wrapText="1"/>
      <protection/>
    </xf>
    <xf numFmtId="49" fontId="87" fillId="42" borderId="12" xfId="53" applyNumberFormat="1" applyFont="1" applyFill="1" applyBorder="1" applyAlignment="1">
      <alignment horizontal="center" vertical="center" wrapText="1"/>
      <protection/>
    </xf>
    <xf numFmtId="0" fontId="88" fillId="42" borderId="11" xfId="53" applyFont="1" applyFill="1" applyBorder="1" applyAlignment="1">
      <alignment horizontal="left" vertical="center" wrapText="1"/>
      <protection/>
    </xf>
    <xf numFmtId="0" fontId="88" fillId="42" borderId="12" xfId="53" applyFont="1" applyFill="1" applyBorder="1" applyAlignment="1">
      <alignment horizontal="left" vertical="center" wrapText="1"/>
      <protection/>
    </xf>
    <xf numFmtId="49" fontId="88" fillId="42" borderId="10" xfId="53" applyNumberFormat="1" applyFont="1" applyFill="1" applyBorder="1" applyAlignment="1">
      <alignment horizontal="center" vertical="center" wrapText="1"/>
      <protection/>
    </xf>
    <xf numFmtId="0" fontId="87" fillId="42" borderId="18" xfId="53" applyFont="1" applyFill="1" applyBorder="1" applyAlignment="1">
      <alignment horizontal="center" vertical="center" wrapText="1"/>
      <protection/>
    </xf>
    <xf numFmtId="0" fontId="87" fillId="42" borderId="21" xfId="53" applyFont="1" applyFill="1" applyBorder="1" applyAlignment="1">
      <alignment horizontal="center" vertical="center" wrapText="1"/>
      <protection/>
    </xf>
    <xf numFmtId="0" fontId="87" fillId="44" borderId="13" xfId="53" applyFont="1" applyFill="1" applyBorder="1" applyAlignment="1">
      <alignment horizontal="center" vertical="center" wrapText="1"/>
      <protection/>
    </xf>
    <xf numFmtId="0" fontId="87" fillId="44" borderId="14" xfId="53" applyFont="1" applyFill="1" applyBorder="1" applyAlignment="1">
      <alignment horizontal="center" vertical="center" wrapText="1"/>
      <protection/>
    </xf>
    <xf numFmtId="0" fontId="87" fillId="44" borderId="16" xfId="53" applyFont="1" applyFill="1" applyBorder="1" applyAlignment="1">
      <alignment horizontal="center" vertical="center" wrapText="1"/>
      <protection/>
    </xf>
    <xf numFmtId="0" fontId="88" fillId="0" borderId="11" xfId="53" applyFont="1" applyFill="1" applyBorder="1" applyAlignment="1">
      <alignment horizontal="center" vertical="center" wrapText="1"/>
      <protection/>
    </xf>
    <xf numFmtId="0" fontId="88" fillId="0" borderId="15" xfId="53" applyFont="1" applyFill="1" applyBorder="1" applyAlignment="1">
      <alignment horizontal="center" vertical="center" wrapText="1"/>
      <protection/>
    </xf>
    <xf numFmtId="0" fontId="88" fillId="0" borderId="12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9;&#1077;&#1090;&#1077;&#1074;&#1072;&#1103;%20&#1087;&#1072;&#1087;&#1082;&#1072;\7\&#1087;&#1088;&#1086;&#1077;&#1082;&#1090;%20&#1073;&#1102;&#1076;&#1078;&#1077;&#1090;&#1072;%20&#1085;&#1072;%202015-2017%20&#1075;&#1075;\1%20&#1095;&#1090;&#1077;&#1085;&#1080;&#1077;\&#1055;&#1088;&#1086;&#1077;&#1082;&#1090;%20&#1085;&#1072;%202014-2016%20&#1075;&#1086;&#1076;&#1099;%201%20&#1095;&#1090;&#1077;&#1085;&#1080;&#10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8\Desktop\&#1082;&#1086;&#1088;&#1088;&#1077;&#1082;&#1090;&#1080;&#1088;&#1086;&#1074;&#1082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_1  "/>
      <sheetName val="прил_2"/>
      <sheetName val="прил_3"/>
      <sheetName val="прил_4"/>
      <sheetName val="прил_5"/>
      <sheetName val="прил_6"/>
      <sheetName val="дюсш"/>
      <sheetName val="спорт"/>
      <sheetName val="фэу"/>
      <sheetName val="администрация"/>
      <sheetName val="совет"/>
      <sheetName val="кизо "/>
      <sheetName val="прил_7"/>
      <sheetName val="прил_7.1"/>
      <sheetName val="прил_7.2"/>
      <sheetName val="прил_7.3"/>
      <sheetName val="прил_7.4"/>
      <sheetName val="прил_8"/>
      <sheetName val="прил_9"/>
      <sheetName val="прил_10"/>
      <sheetName val="прил_11"/>
      <sheetName val="прил_12"/>
      <sheetName val="субсид"/>
      <sheetName val="расходы по аппарату по с.с"/>
      <sheetName val="доходы"/>
      <sheetName val="несбалансированность"/>
      <sheetName val="расходы"/>
      <sheetName val="прил_11 (2)"/>
    </sheetNames>
    <sheetDataSet>
      <sheetData sheetId="5">
        <row r="1201">
          <cell r="H1201">
            <v>659204.564</v>
          </cell>
          <cell r="I1201">
            <v>709275.102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_1  "/>
      <sheetName val="прил_2"/>
      <sheetName val="прил_3"/>
      <sheetName val="прил_4"/>
      <sheetName val="прил_5"/>
      <sheetName val="Лист1"/>
      <sheetName val="прил_7"/>
      <sheetName val="прил_7.1"/>
      <sheetName val="прил_7.2"/>
      <sheetName val="прил_7.3"/>
      <sheetName val="прил_8"/>
      <sheetName val="прил_9"/>
      <sheetName val="прил_10"/>
      <sheetName val="прил_11"/>
      <sheetName val="прил_12"/>
      <sheetName val="отклонение по дох"/>
      <sheetName val="прил_10 (2)"/>
    </sheetNames>
    <sheetDataSet>
      <sheetData sheetId="0">
        <row r="86">
          <cell r="T86">
            <v>509301.57999999996</v>
          </cell>
        </row>
        <row r="148">
          <cell r="T148">
            <v>759322.1499999999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2:M46"/>
  <sheetViews>
    <sheetView zoomScale="73" zoomScaleNormal="73" zoomScaleSheetLayoutView="100" zoomScalePageLayoutView="0" workbookViewId="0" topLeftCell="A13">
      <selection activeCell="G35" sqref="G35"/>
    </sheetView>
  </sheetViews>
  <sheetFormatPr defaultColWidth="9.140625" defaultRowHeight="12.75"/>
  <cols>
    <col min="1" max="1" width="49.28125" style="28" customWidth="1"/>
    <col min="2" max="2" width="23.140625" style="28" customWidth="1"/>
    <col min="3" max="3" width="20.28125" style="28" customWidth="1"/>
    <col min="4" max="4" width="12.57421875" style="28" hidden="1" customWidth="1"/>
    <col min="5" max="6" width="16.421875" style="28" hidden="1" customWidth="1"/>
    <col min="7" max="7" width="17.140625" style="28" customWidth="1"/>
    <col min="8" max="9" width="10.8515625" style="28" bestFit="1" customWidth="1"/>
    <col min="10" max="16384" width="9.140625" style="28" customWidth="1"/>
  </cols>
  <sheetData>
    <row r="2" ht="15.75">
      <c r="F2" s="82" t="s">
        <v>204</v>
      </c>
    </row>
    <row r="3" ht="15.75">
      <c r="F3" s="82" t="s">
        <v>356</v>
      </c>
    </row>
    <row r="4" ht="15.75">
      <c r="F4" s="82" t="s">
        <v>500</v>
      </c>
    </row>
    <row r="5" spans="1:6" ht="15.75">
      <c r="A5" s="110" t="s">
        <v>211</v>
      </c>
      <c r="F5" s="82" t="s">
        <v>501</v>
      </c>
    </row>
    <row r="6" ht="15.75">
      <c r="A6" s="110" t="s">
        <v>91</v>
      </c>
    </row>
    <row r="7" ht="15.75">
      <c r="A7" s="111"/>
    </row>
    <row r="8" ht="15.75">
      <c r="A8" s="111"/>
    </row>
    <row r="9" spans="1:7" ht="42" customHeight="1">
      <c r="A9" s="653" t="s">
        <v>261</v>
      </c>
      <c r="B9" s="653" t="s">
        <v>464</v>
      </c>
      <c r="C9" s="653"/>
      <c r="D9" s="654">
        <v>2015</v>
      </c>
      <c r="E9" s="655" t="s">
        <v>72</v>
      </c>
      <c r="F9" s="655" t="s">
        <v>79</v>
      </c>
      <c r="G9" s="654">
        <v>2015</v>
      </c>
    </row>
    <row r="10" spans="1:7" s="112" customFormat="1" ht="42" customHeight="1">
      <c r="A10" s="653"/>
      <c r="B10" s="252" t="s">
        <v>465</v>
      </c>
      <c r="C10" s="252" t="s">
        <v>232</v>
      </c>
      <c r="D10" s="654"/>
      <c r="E10" s="655"/>
      <c r="F10" s="655"/>
      <c r="G10" s="654"/>
    </row>
    <row r="11" spans="1:9" s="27" customFormat="1" ht="48" customHeight="1">
      <c r="A11" s="113" t="s">
        <v>466</v>
      </c>
      <c r="B11" s="114" t="s">
        <v>95</v>
      </c>
      <c r="C11" s="114" t="s">
        <v>369</v>
      </c>
      <c r="D11" s="220">
        <f>D14+D19+D25+D12</f>
        <v>8413.740000000014</v>
      </c>
      <c r="E11" s="220">
        <f>E14+E19+E25+E12</f>
        <v>-16334</v>
      </c>
      <c r="F11" s="220">
        <f>F14+F19+F25+F12</f>
        <v>-13500</v>
      </c>
      <c r="G11" s="220">
        <f>G14+G19+G25+G12</f>
        <v>5049.780000000052</v>
      </c>
      <c r="I11" s="27">
        <v>11310.11</v>
      </c>
    </row>
    <row r="12" spans="1:7" s="27" customFormat="1" ht="48" customHeight="1">
      <c r="A12" s="113" t="s">
        <v>97</v>
      </c>
      <c r="B12" s="114" t="s">
        <v>96</v>
      </c>
      <c r="C12" s="114" t="s">
        <v>434</v>
      </c>
      <c r="D12" s="220">
        <f>D13</f>
        <v>667</v>
      </c>
      <c r="E12" s="220">
        <f>E13</f>
        <v>666</v>
      </c>
      <c r="F12" s="220">
        <f>F13</f>
        <v>0</v>
      </c>
      <c r="G12" s="220">
        <f>G13</f>
        <v>708</v>
      </c>
    </row>
    <row r="13" spans="1:7" s="27" customFormat="1" ht="102" customHeight="1">
      <c r="A13" s="113" t="s">
        <v>98</v>
      </c>
      <c r="B13" s="114" t="s">
        <v>84</v>
      </c>
      <c r="C13" s="114" t="s">
        <v>85</v>
      </c>
      <c r="D13" s="189">
        <v>667</v>
      </c>
      <c r="E13" s="189">
        <v>666</v>
      </c>
      <c r="F13" s="189">
        <v>0</v>
      </c>
      <c r="G13" s="189">
        <v>708</v>
      </c>
    </row>
    <row r="14" spans="1:7" s="27" customFormat="1" ht="48" customHeight="1">
      <c r="A14" s="113" t="s">
        <v>99</v>
      </c>
      <c r="B14" s="114" t="s">
        <v>365</v>
      </c>
      <c r="C14" s="114" t="s">
        <v>369</v>
      </c>
      <c r="D14" s="254">
        <f>D15+D17</f>
        <v>0</v>
      </c>
      <c r="E14" s="254">
        <f>E15+E17</f>
        <v>-11500</v>
      </c>
      <c r="F14" s="254">
        <f>F15+F17</f>
        <v>-11500</v>
      </c>
      <c r="G14" s="254">
        <f>G15+G17</f>
        <v>7000</v>
      </c>
    </row>
    <row r="15" spans="1:7" s="27" customFormat="1" ht="50.25" customHeight="1">
      <c r="A15" s="113" t="s">
        <v>100</v>
      </c>
      <c r="B15" s="114" t="s">
        <v>365</v>
      </c>
      <c r="C15" s="114" t="s">
        <v>367</v>
      </c>
      <c r="D15" s="254">
        <f>D16</f>
        <v>0</v>
      </c>
      <c r="E15" s="254">
        <f>E16</f>
        <v>0</v>
      </c>
      <c r="F15" s="254">
        <f>F16</f>
        <v>0</v>
      </c>
      <c r="G15" s="254">
        <f>G16</f>
        <v>15000</v>
      </c>
    </row>
    <row r="16" spans="1:7" s="27" customFormat="1" ht="60.75" customHeight="1">
      <c r="A16" s="113" t="s">
        <v>101</v>
      </c>
      <c r="B16" s="114" t="s">
        <v>366</v>
      </c>
      <c r="C16" s="114" t="s">
        <v>368</v>
      </c>
      <c r="D16" s="255">
        <v>0</v>
      </c>
      <c r="E16" s="255">
        <v>0</v>
      </c>
      <c r="F16" s="255">
        <v>0</v>
      </c>
      <c r="G16" s="255">
        <v>15000</v>
      </c>
    </row>
    <row r="17" spans="1:7" s="27" customFormat="1" ht="67.5" customHeight="1">
      <c r="A17" s="113" t="s">
        <v>102</v>
      </c>
      <c r="B17" s="114" t="s">
        <v>365</v>
      </c>
      <c r="C17" s="114" t="s">
        <v>363</v>
      </c>
      <c r="D17" s="189">
        <f>D18</f>
        <v>0</v>
      </c>
      <c r="E17" s="189">
        <f>E18</f>
        <v>-11500</v>
      </c>
      <c r="F17" s="189">
        <f>F18</f>
        <v>-11500</v>
      </c>
      <c r="G17" s="189">
        <f>G18</f>
        <v>-8000</v>
      </c>
    </row>
    <row r="18" spans="1:7" s="27" customFormat="1" ht="62.25" customHeight="1">
      <c r="A18" s="113" t="s">
        <v>103</v>
      </c>
      <c r="B18" s="114" t="s">
        <v>366</v>
      </c>
      <c r="C18" s="114" t="s">
        <v>364</v>
      </c>
      <c r="D18" s="189">
        <v>0</v>
      </c>
      <c r="E18" s="189">
        <v>-11500</v>
      </c>
      <c r="F18" s="189">
        <v>-11500</v>
      </c>
      <c r="G18" s="189">
        <v>-8000</v>
      </c>
    </row>
    <row r="19" spans="1:7" s="27" customFormat="1" ht="48" customHeight="1">
      <c r="A19" s="116" t="s">
        <v>104</v>
      </c>
      <c r="B19" s="114" t="s">
        <v>371</v>
      </c>
      <c r="C19" s="114" t="s">
        <v>369</v>
      </c>
      <c r="D19" s="115">
        <f>D20+D22</f>
        <v>-4119.9</v>
      </c>
      <c r="E19" s="254">
        <f>E20+E22</f>
        <v>-5500</v>
      </c>
      <c r="F19" s="254">
        <f>F20+F22</f>
        <v>-2000</v>
      </c>
      <c r="G19" s="115">
        <f>G20+G22</f>
        <v>-4119.9</v>
      </c>
    </row>
    <row r="20" spans="1:8" s="27" customFormat="1" ht="66.75" customHeight="1">
      <c r="A20" s="116" t="s">
        <v>105</v>
      </c>
      <c r="B20" s="114" t="s">
        <v>108</v>
      </c>
      <c r="C20" s="114" t="s">
        <v>367</v>
      </c>
      <c r="D20" s="115">
        <f>D21</f>
        <v>0</v>
      </c>
      <c r="E20" s="254">
        <f>E21</f>
        <v>0</v>
      </c>
      <c r="F20" s="254">
        <f>F21</f>
        <v>0</v>
      </c>
      <c r="G20" s="115">
        <f>G21</f>
        <v>0</v>
      </c>
      <c r="H20" s="256"/>
    </row>
    <row r="21" spans="1:7" s="27" customFormat="1" ht="84" customHeight="1">
      <c r="A21" s="116" t="s">
        <v>106</v>
      </c>
      <c r="B21" s="114" t="s">
        <v>110</v>
      </c>
      <c r="C21" s="114" t="s">
        <v>368</v>
      </c>
      <c r="D21" s="115">
        <v>0</v>
      </c>
      <c r="E21" s="254">
        <v>0</v>
      </c>
      <c r="F21" s="254">
        <v>0</v>
      </c>
      <c r="G21" s="115">
        <v>0</v>
      </c>
    </row>
    <row r="22" spans="1:7" s="27" customFormat="1" ht="95.25" customHeight="1">
      <c r="A22" s="116" t="s">
        <v>107</v>
      </c>
      <c r="B22" s="114" t="s">
        <v>108</v>
      </c>
      <c r="C22" s="114" t="s">
        <v>363</v>
      </c>
      <c r="D22" s="115">
        <f>D23</f>
        <v>-4119.9</v>
      </c>
      <c r="E22" s="254">
        <f>E23</f>
        <v>-5500</v>
      </c>
      <c r="F22" s="254">
        <f>F23</f>
        <v>-2000</v>
      </c>
      <c r="G22" s="254">
        <f>G23</f>
        <v>-4119.9</v>
      </c>
    </row>
    <row r="23" spans="1:7" s="27" customFormat="1" ht="63" customHeight="1">
      <c r="A23" s="116" t="s">
        <v>109</v>
      </c>
      <c r="B23" s="114" t="s">
        <v>110</v>
      </c>
      <c r="C23" s="114" t="s">
        <v>364</v>
      </c>
      <c r="D23" s="115">
        <v>-4119.9</v>
      </c>
      <c r="E23" s="254">
        <f>-5500</f>
        <v>-5500</v>
      </c>
      <c r="F23" s="254">
        <f>-2000</f>
        <v>-2000</v>
      </c>
      <c r="G23" s="254">
        <v>-4119.9</v>
      </c>
    </row>
    <row r="24" spans="1:7" s="27" customFormat="1" ht="48" customHeight="1" hidden="1">
      <c r="A24" s="116" t="s">
        <v>111</v>
      </c>
      <c r="B24" s="114" t="s">
        <v>430</v>
      </c>
      <c r="C24" s="114" t="s">
        <v>369</v>
      </c>
      <c r="D24" s="254">
        <f>D25</f>
        <v>11866.640000000014</v>
      </c>
      <c r="E24" s="254">
        <f>E25</f>
        <v>0</v>
      </c>
      <c r="F24" s="254">
        <f>F25</f>
        <v>0</v>
      </c>
      <c r="G24" s="254">
        <f>G25</f>
        <v>1461.6800000000512</v>
      </c>
    </row>
    <row r="25" spans="1:9" s="27" customFormat="1" ht="33.75" customHeight="1">
      <c r="A25" s="116" t="s">
        <v>426</v>
      </c>
      <c r="B25" s="114" t="s">
        <v>430</v>
      </c>
      <c r="C25" s="114" t="s">
        <v>369</v>
      </c>
      <c r="D25" s="254">
        <f>D26+D29</f>
        <v>11866.640000000014</v>
      </c>
      <c r="E25" s="254">
        <f>E26+E29</f>
        <v>0</v>
      </c>
      <c r="F25" s="254">
        <f>F26+F29</f>
        <v>0</v>
      </c>
      <c r="G25" s="254">
        <f>G26+G29</f>
        <v>1461.6800000000512</v>
      </c>
      <c r="H25" s="256"/>
      <c r="I25" s="256">
        <v>14722.01</v>
      </c>
    </row>
    <row r="26" spans="1:9" s="27" customFormat="1" ht="35.25" customHeight="1">
      <c r="A26" s="116" t="s">
        <v>112</v>
      </c>
      <c r="B26" s="114" t="s">
        <v>431</v>
      </c>
      <c r="C26" s="114" t="s">
        <v>482</v>
      </c>
      <c r="D26" s="254">
        <f aca="true" t="shared" si="0" ref="D26:F27">D27</f>
        <v>-759989.15</v>
      </c>
      <c r="E26" s="254">
        <f t="shared" si="0"/>
        <v>-746661.7</v>
      </c>
      <c r="F26" s="254">
        <f t="shared" si="0"/>
        <v>-825339.6</v>
      </c>
      <c r="G26" s="254">
        <f>G27</f>
        <v>-1021536.87</v>
      </c>
      <c r="I26" s="256">
        <f>I25-G25</f>
        <v>13260.329999999949</v>
      </c>
    </row>
    <row r="27" spans="1:7" s="27" customFormat="1" ht="36.75" customHeight="1">
      <c r="A27" s="116" t="s">
        <v>427</v>
      </c>
      <c r="B27" s="114" t="s">
        <v>432</v>
      </c>
      <c r="C27" s="114" t="s">
        <v>468</v>
      </c>
      <c r="D27" s="254">
        <f>D28</f>
        <v>-759989.15</v>
      </c>
      <c r="E27" s="254">
        <f t="shared" si="0"/>
        <v>-746661.7</v>
      </c>
      <c r="F27" s="254">
        <f t="shared" si="0"/>
        <v>-825339.6</v>
      </c>
      <c r="G27" s="254">
        <f>G28</f>
        <v>-1021536.87</v>
      </c>
    </row>
    <row r="28" spans="1:9" s="27" customFormat="1" ht="42" customHeight="1">
      <c r="A28" s="116" t="s">
        <v>428</v>
      </c>
      <c r="B28" s="114" t="s">
        <v>433</v>
      </c>
      <c r="C28" s="114" t="s">
        <v>468</v>
      </c>
      <c r="D28" s="257">
        <v>-759989.15</v>
      </c>
      <c r="E28" s="257">
        <v>-746661.7</v>
      </c>
      <c r="F28" s="257">
        <v>-825339.6</v>
      </c>
      <c r="G28" s="257">
        <v>-1021536.87</v>
      </c>
      <c r="I28" s="256">
        <f>I25+G25</f>
        <v>16183.690000000051</v>
      </c>
    </row>
    <row r="29" spans="1:7" s="27" customFormat="1" ht="40.5" customHeight="1">
      <c r="A29" s="117" t="s">
        <v>113</v>
      </c>
      <c r="B29" s="114" t="s">
        <v>431</v>
      </c>
      <c r="C29" s="114" t="s">
        <v>434</v>
      </c>
      <c r="D29" s="115">
        <f aca="true" t="shared" si="1" ref="D29:G30">D30</f>
        <v>771855.79</v>
      </c>
      <c r="E29" s="115">
        <f t="shared" si="1"/>
        <v>746661.7</v>
      </c>
      <c r="F29" s="115">
        <f t="shared" si="1"/>
        <v>825339.6</v>
      </c>
      <c r="G29" s="254">
        <f t="shared" si="1"/>
        <v>1022998.55</v>
      </c>
    </row>
    <row r="30" spans="1:7" s="27" customFormat="1" ht="36" customHeight="1">
      <c r="A30" s="117" t="s">
        <v>467</v>
      </c>
      <c r="B30" s="114" t="s">
        <v>432</v>
      </c>
      <c r="C30" s="114" t="s">
        <v>469</v>
      </c>
      <c r="D30" s="115">
        <f t="shared" si="1"/>
        <v>771855.79</v>
      </c>
      <c r="E30" s="115">
        <f t="shared" si="1"/>
        <v>746661.7</v>
      </c>
      <c r="F30" s="115">
        <f t="shared" si="1"/>
        <v>825339.6</v>
      </c>
      <c r="G30" s="254">
        <f t="shared" si="1"/>
        <v>1022998.55</v>
      </c>
    </row>
    <row r="31" spans="1:7" s="27" customFormat="1" ht="40.5" customHeight="1">
      <c r="A31" s="117" t="s">
        <v>429</v>
      </c>
      <c r="B31" s="114" t="s">
        <v>433</v>
      </c>
      <c r="C31" s="114" t="s">
        <v>469</v>
      </c>
      <c r="D31" s="115">
        <v>771855.79</v>
      </c>
      <c r="E31" s="115">
        <v>746661.7</v>
      </c>
      <c r="F31" s="115">
        <v>825339.6</v>
      </c>
      <c r="G31" s="254">
        <v>1022998.55</v>
      </c>
    </row>
    <row r="32" ht="15.75">
      <c r="A32" s="118"/>
    </row>
    <row r="33" ht="15.75">
      <c r="A33" s="118"/>
    </row>
    <row r="34" spans="1:13" ht="15.75">
      <c r="A34" s="118"/>
      <c r="C34" s="258"/>
      <c r="D34" s="259">
        <f>D11-D25</f>
        <v>-3452.8999999999996</v>
      </c>
      <c r="E34" s="259">
        <f>E11-E25</f>
        <v>-16334</v>
      </c>
      <c r="F34" s="259">
        <f>F11-F25</f>
        <v>-13500</v>
      </c>
      <c r="G34" s="259">
        <f>G11-G25</f>
        <v>3588.1000000000004</v>
      </c>
      <c r="M34" s="259"/>
    </row>
    <row r="35" spans="1:3" ht="15.75">
      <c r="A35" s="118"/>
      <c r="C35" s="258"/>
    </row>
    <row r="36" spans="1:7" ht="15.75">
      <c r="A36" s="118"/>
      <c r="C36" s="260"/>
      <c r="D36" s="261"/>
      <c r="G36" s="261"/>
    </row>
    <row r="37" spans="1:7" ht="15.75">
      <c r="A37" s="118"/>
      <c r="B37" s="28" t="s">
        <v>396</v>
      </c>
      <c r="C37" s="261">
        <f>'прил_1  '!O150</f>
        <v>1076515.21</v>
      </c>
      <c r="D37" s="259"/>
      <c r="G37" s="259"/>
    </row>
    <row r="38" spans="1:13" ht="15.75">
      <c r="A38" s="118"/>
      <c r="B38" s="28" t="s">
        <v>86</v>
      </c>
      <c r="C38" s="28">
        <f>'прил_1  '!O90</f>
        <v>847423.6399999999</v>
      </c>
      <c r="M38" s="259"/>
    </row>
    <row r="39" spans="1:5" ht="15.75">
      <c r="A39" s="118"/>
      <c r="B39" s="28" t="s">
        <v>87</v>
      </c>
      <c r="C39" s="28">
        <v>107063</v>
      </c>
      <c r="E39" s="28">
        <v>738464.99</v>
      </c>
    </row>
    <row r="40" spans="1:7" ht="15.75">
      <c r="A40" s="118"/>
      <c r="C40" s="261">
        <f>C37-C38-C39</f>
        <v>122028.57000000007</v>
      </c>
      <c r="G40" s="477"/>
    </row>
    <row r="41" spans="1:5" ht="15.75">
      <c r="A41" s="118"/>
      <c r="E41" s="28">
        <f>E31-E39</f>
        <v>8196.709999999963</v>
      </c>
    </row>
    <row r="42" spans="2:3" ht="15.75">
      <c r="B42" s="28" t="s">
        <v>88</v>
      </c>
      <c r="C42" s="262"/>
    </row>
    <row r="43" spans="1:7" ht="15.75">
      <c r="A43" s="118"/>
      <c r="G43" s="28">
        <f>'прил_1  '!O150-прил_4!O1214</f>
        <v>-18309.996000000043</v>
      </c>
    </row>
    <row r="44" spans="1:2" ht="15.75">
      <c r="A44" s="118"/>
      <c r="B44" s="28" t="s">
        <v>987</v>
      </c>
    </row>
    <row r="45" ht="15.75">
      <c r="A45" s="118"/>
    </row>
    <row r="46" ht="15.75">
      <c r="A46" s="118"/>
    </row>
  </sheetData>
  <sheetProtection/>
  <mergeCells count="6">
    <mergeCell ref="A9:A10"/>
    <mergeCell ref="B9:C9"/>
    <mergeCell ref="D9:D10"/>
    <mergeCell ref="E9:E10"/>
    <mergeCell ref="F9:F10"/>
    <mergeCell ref="G9:G10"/>
  </mergeCells>
  <printOptions/>
  <pageMargins left="0.75" right="0.75" top="0.48" bottom="0.4" header="0.5" footer="0.5"/>
  <pageSetup fitToHeight="1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AD20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4.57421875" style="7" customWidth="1"/>
    <col min="2" max="2" width="33.00390625" style="7" customWidth="1"/>
    <col min="3" max="3" width="16.28125" style="7" hidden="1" customWidth="1"/>
    <col min="4" max="4" width="13.00390625" style="216" customWidth="1"/>
    <col min="5" max="5" width="11.57421875" style="216" hidden="1" customWidth="1"/>
    <col min="6" max="6" width="10.57421875" style="216" hidden="1" customWidth="1"/>
    <col min="7" max="7" width="15.00390625" style="7" customWidth="1"/>
    <col min="8" max="8" width="12.8515625" style="7" customWidth="1"/>
    <col min="9" max="16384" width="9.140625" style="7" customWidth="1"/>
  </cols>
  <sheetData>
    <row r="1" spans="4:6" s="4" customFormat="1" ht="12.75">
      <c r="D1" s="215" t="s">
        <v>145</v>
      </c>
      <c r="E1" s="215"/>
      <c r="F1" s="215"/>
    </row>
    <row r="2" spans="4:6" s="4" customFormat="1" ht="12.75">
      <c r="D2" s="215" t="s">
        <v>356</v>
      </c>
      <c r="E2" s="215"/>
      <c r="F2" s="215"/>
    </row>
    <row r="3" spans="4:6" s="4" customFormat="1" ht="12.75">
      <c r="D3" s="215" t="s">
        <v>500</v>
      </c>
      <c r="E3" s="215"/>
      <c r="F3" s="215"/>
    </row>
    <row r="4" spans="4:6" s="4" customFormat="1" ht="12.75">
      <c r="D4" s="215" t="s">
        <v>501</v>
      </c>
      <c r="E4" s="215"/>
      <c r="F4" s="215"/>
    </row>
    <row r="5" spans="3:6" s="4" customFormat="1" ht="12.75">
      <c r="C5"/>
      <c r="D5" s="215"/>
      <c r="E5" s="215"/>
      <c r="F5" s="215"/>
    </row>
    <row r="7" spans="2:8" ht="12.75">
      <c r="B7" s="817" t="s">
        <v>919</v>
      </c>
      <c r="C7" s="817"/>
      <c r="D7" s="817"/>
      <c r="E7" s="817"/>
      <c r="F7" s="817"/>
      <c r="G7" s="817"/>
      <c r="H7" s="817"/>
    </row>
    <row r="8" spans="2:8" s="2" customFormat="1" ht="12.75">
      <c r="B8" s="817"/>
      <c r="C8" s="817"/>
      <c r="D8" s="817"/>
      <c r="E8" s="817"/>
      <c r="F8" s="817"/>
      <c r="G8" s="817"/>
      <c r="H8" s="817"/>
    </row>
    <row r="10" spans="1:30" s="12" customFormat="1" ht="21.75" customHeight="1">
      <c r="A10" s="23" t="s">
        <v>502</v>
      </c>
      <c r="B10" s="23" t="s">
        <v>212</v>
      </c>
      <c r="C10" s="132" t="s">
        <v>171</v>
      </c>
      <c r="D10" s="218" t="s">
        <v>171</v>
      </c>
      <c r="E10" s="218" t="s">
        <v>171</v>
      </c>
      <c r="F10" s="218" t="s">
        <v>171</v>
      </c>
      <c r="G10" s="218" t="s">
        <v>171</v>
      </c>
      <c r="H10" s="218" t="s">
        <v>171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  <c r="X10" s="11"/>
      <c r="Y10" s="11"/>
      <c r="Z10" s="11"/>
      <c r="AA10" s="11"/>
      <c r="AB10" s="11"/>
      <c r="AC10" s="11"/>
      <c r="AD10" s="11"/>
    </row>
    <row r="11" spans="1:30" s="3" customFormat="1" ht="12.75" customHeight="1">
      <c r="A11" s="26"/>
      <c r="B11" s="26"/>
      <c r="C11" s="1">
        <v>2012</v>
      </c>
      <c r="D11" s="143" t="s">
        <v>1021</v>
      </c>
      <c r="E11" s="143">
        <v>2016</v>
      </c>
      <c r="F11" s="143">
        <v>2017</v>
      </c>
      <c r="G11" s="143" t="s">
        <v>1022</v>
      </c>
      <c r="H11" s="143" t="s">
        <v>1018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  <c r="X11" s="14"/>
      <c r="Y11" s="14"/>
      <c r="Z11" s="14"/>
      <c r="AA11" s="14"/>
      <c r="AB11" s="14"/>
      <c r="AC11" s="14"/>
      <c r="AD11" s="14"/>
    </row>
    <row r="12" spans="1:8" ht="12.75">
      <c r="A12" s="16">
        <v>1</v>
      </c>
      <c r="B12" s="6" t="s">
        <v>988</v>
      </c>
      <c r="C12" s="127">
        <v>283.491</v>
      </c>
      <c r="D12" s="226">
        <v>2396.8</v>
      </c>
      <c r="E12" s="226">
        <v>313.83</v>
      </c>
      <c r="F12" s="226">
        <v>313.83</v>
      </c>
      <c r="G12" s="226">
        <v>2396.8</v>
      </c>
      <c r="H12" s="621">
        <f aca="true" t="shared" si="0" ref="H12:H17">G12/D12</f>
        <v>1</v>
      </c>
    </row>
    <row r="13" spans="1:8" ht="12.75">
      <c r="A13" s="16">
        <v>2</v>
      </c>
      <c r="B13" s="6" t="s">
        <v>989</v>
      </c>
      <c r="C13" s="127">
        <v>142.217</v>
      </c>
      <c r="D13" s="226">
        <v>740.11</v>
      </c>
      <c r="E13" s="226">
        <v>213.86</v>
      </c>
      <c r="F13" s="226">
        <v>213.86</v>
      </c>
      <c r="G13" s="226">
        <v>740.11</v>
      </c>
      <c r="H13" s="621">
        <f t="shared" si="0"/>
        <v>1</v>
      </c>
    </row>
    <row r="14" spans="1:8" ht="12.75">
      <c r="A14" s="16">
        <v>4</v>
      </c>
      <c r="B14" s="6" t="s">
        <v>990</v>
      </c>
      <c r="C14" s="127"/>
      <c r="D14" s="226">
        <v>184.36</v>
      </c>
      <c r="E14" s="226"/>
      <c r="F14" s="226"/>
      <c r="G14" s="226">
        <v>184.36</v>
      </c>
      <c r="H14" s="621">
        <f t="shared" si="0"/>
        <v>1</v>
      </c>
    </row>
    <row r="15" spans="1:8" ht="12.75">
      <c r="A15" s="16">
        <v>5</v>
      </c>
      <c r="B15" s="6" t="s">
        <v>920</v>
      </c>
      <c r="C15" s="127"/>
      <c r="D15" s="226">
        <v>348.77</v>
      </c>
      <c r="E15" s="226"/>
      <c r="F15" s="226"/>
      <c r="G15" s="226">
        <v>348.77</v>
      </c>
      <c r="H15" s="621">
        <f t="shared" si="0"/>
        <v>1</v>
      </c>
    </row>
    <row r="16" spans="1:8" ht="12.75">
      <c r="A16" s="16">
        <v>6</v>
      </c>
      <c r="B16" s="6" t="s">
        <v>921</v>
      </c>
      <c r="C16" s="127"/>
      <c r="D16" s="226">
        <v>227.3</v>
      </c>
      <c r="E16" s="226"/>
      <c r="F16" s="226"/>
      <c r="G16" s="226">
        <v>227.3</v>
      </c>
      <c r="H16" s="621">
        <f t="shared" si="0"/>
        <v>1</v>
      </c>
    </row>
    <row r="17" spans="1:8" s="19" customFormat="1" ht="12.75">
      <c r="A17" s="22" t="s">
        <v>425</v>
      </c>
      <c r="B17" s="22"/>
      <c r="C17" s="131">
        <f>SUM(C12:C13)</f>
        <v>425.70799999999997</v>
      </c>
      <c r="D17" s="131">
        <f>SUM(D12:D16)</f>
        <v>3897.3400000000006</v>
      </c>
      <c r="E17" s="131">
        <f>SUM(E12:E13)</f>
        <v>527.69</v>
      </c>
      <c r="F17" s="131">
        <f>SUM(F12:F13)</f>
        <v>527.69</v>
      </c>
      <c r="G17" s="131">
        <f>SUM(G12:G16)</f>
        <v>3897.3400000000006</v>
      </c>
      <c r="H17" s="620">
        <f t="shared" si="0"/>
        <v>1</v>
      </c>
    </row>
    <row r="18" spans="1:3" ht="12.75" customHeight="1" hidden="1">
      <c r="A18" s="20"/>
      <c r="B18" s="20"/>
      <c r="C18" s="20"/>
    </row>
    <row r="19" ht="12.75" customHeight="1" hidden="1"/>
    <row r="20" ht="12.75" hidden="1">
      <c r="C20" s="25"/>
    </row>
  </sheetData>
  <sheetProtection/>
  <mergeCells count="1">
    <mergeCell ref="B7:H8"/>
  </mergeCells>
  <printOptions/>
  <pageMargins left="0.75" right="0.75" top="0.52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AD30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4.57421875" style="7" customWidth="1"/>
    <col min="2" max="2" width="28.7109375" style="7" customWidth="1"/>
    <col min="3" max="3" width="16.28125" style="7" hidden="1" customWidth="1"/>
    <col min="4" max="4" width="12.28125" style="216" customWidth="1"/>
    <col min="5" max="5" width="11.57421875" style="216" hidden="1" customWidth="1"/>
    <col min="6" max="6" width="10.57421875" style="216" hidden="1" customWidth="1"/>
    <col min="7" max="7" width="12.421875" style="7" customWidth="1"/>
    <col min="8" max="8" width="13.57421875" style="7" customWidth="1"/>
    <col min="9" max="16384" width="9.140625" style="7" customWidth="1"/>
  </cols>
  <sheetData>
    <row r="1" spans="4:6" s="4" customFormat="1" ht="12.75">
      <c r="D1" s="215" t="s">
        <v>504</v>
      </c>
      <c r="E1" s="215"/>
      <c r="F1" s="215"/>
    </row>
    <row r="2" spans="4:6" s="4" customFormat="1" ht="12.75">
      <c r="D2" s="215" t="s">
        <v>356</v>
      </c>
      <c r="E2" s="215"/>
      <c r="F2" s="215"/>
    </row>
    <row r="3" spans="4:6" s="4" customFormat="1" ht="12.75">
      <c r="D3" s="215" t="s">
        <v>500</v>
      </c>
      <c r="E3" s="215"/>
      <c r="F3" s="215"/>
    </row>
    <row r="4" spans="4:6" s="4" customFormat="1" ht="12.75">
      <c r="D4" s="215" t="s">
        <v>501</v>
      </c>
      <c r="E4" s="215"/>
      <c r="F4" s="215"/>
    </row>
    <row r="5" spans="3:6" s="4" customFormat="1" ht="12.75">
      <c r="C5"/>
      <c r="D5" s="215"/>
      <c r="E5" s="215"/>
      <c r="F5" s="215"/>
    </row>
    <row r="7" spans="2:3" ht="12.75">
      <c r="B7" s="2" t="s">
        <v>991</v>
      </c>
      <c r="C7" s="9"/>
    </row>
    <row r="8" spans="2:6" s="2" customFormat="1" ht="12.75">
      <c r="B8" s="2" t="s">
        <v>992</v>
      </c>
      <c r="C8" s="9"/>
      <c r="D8" s="217"/>
      <c r="E8" s="217"/>
      <c r="F8" s="217"/>
    </row>
    <row r="10" spans="1:30" s="12" customFormat="1" ht="27.75" customHeight="1">
      <c r="A10" s="23" t="s">
        <v>502</v>
      </c>
      <c r="B10" s="23" t="s">
        <v>212</v>
      </c>
      <c r="C10" s="132" t="s">
        <v>171</v>
      </c>
      <c r="D10" s="218" t="s">
        <v>171</v>
      </c>
      <c r="E10" s="218" t="s">
        <v>171</v>
      </c>
      <c r="F10" s="218" t="s">
        <v>171</v>
      </c>
      <c r="G10" s="218" t="s">
        <v>171</v>
      </c>
      <c r="H10" s="218" t="s">
        <v>171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  <c r="X10" s="11"/>
      <c r="Y10" s="11"/>
      <c r="Z10" s="11"/>
      <c r="AA10" s="11"/>
      <c r="AB10" s="11"/>
      <c r="AC10" s="11"/>
      <c r="AD10" s="11"/>
    </row>
    <row r="11" spans="1:30" s="3" customFormat="1" ht="25.5" customHeight="1">
      <c r="A11" s="26"/>
      <c r="B11" s="26"/>
      <c r="C11" s="1">
        <v>2012</v>
      </c>
      <c r="D11" s="143" t="s">
        <v>1021</v>
      </c>
      <c r="E11" s="143">
        <v>2016</v>
      </c>
      <c r="F11" s="143">
        <v>2017</v>
      </c>
      <c r="G11" s="143" t="s">
        <v>1022</v>
      </c>
      <c r="H11" s="143" t="s">
        <v>1018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  <c r="X11" s="14"/>
      <c r="Y11" s="14"/>
      <c r="Z11" s="14"/>
      <c r="AA11" s="14"/>
      <c r="AB11" s="14"/>
      <c r="AC11" s="14"/>
      <c r="AD11" s="14"/>
    </row>
    <row r="12" spans="1:30" ht="12.75">
      <c r="A12" s="16">
        <v>1</v>
      </c>
      <c r="B12" s="6" t="s">
        <v>213</v>
      </c>
      <c r="C12" s="127">
        <v>57.452</v>
      </c>
      <c r="D12" s="576">
        <v>150</v>
      </c>
      <c r="E12" s="226">
        <v>160.41</v>
      </c>
      <c r="F12" s="226">
        <v>160.41</v>
      </c>
      <c r="G12" s="576">
        <v>150</v>
      </c>
      <c r="H12" s="619">
        <f>G12/D12</f>
        <v>1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8"/>
      <c r="X12" s="18"/>
      <c r="Y12" s="18"/>
      <c r="Z12" s="18"/>
      <c r="AA12" s="18"/>
      <c r="AB12" s="18"/>
      <c r="AC12" s="18"/>
      <c r="AD12" s="18"/>
    </row>
    <row r="13" spans="1:30" ht="12.75">
      <c r="A13" s="16">
        <v>2</v>
      </c>
      <c r="B13" s="6" t="s">
        <v>215</v>
      </c>
      <c r="C13" s="127">
        <v>142.217</v>
      </c>
      <c r="D13" s="577">
        <v>100</v>
      </c>
      <c r="E13" s="226">
        <v>160.41</v>
      </c>
      <c r="F13" s="226">
        <v>160.41</v>
      </c>
      <c r="G13" s="577">
        <v>100</v>
      </c>
      <c r="H13" s="619">
        <f aca="true" t="shared" si="0" ref="H13:H26">G13/D13</f>
        <v>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8" ht="12.75">
      <c r="A14" s="16">
        <v>3</v>
      </c>
      <c r="B14" s="6" t="s">
        <v>216</v>
      </c>
      <c r="C14" s="127">
        <v>57.452</v>
      </c>
      <c r="D14" s="578">
        <v>100</v>
      </c>
      <c r="E14" s="226">
        <v>64.16</v>
      </c>
      <c r="F14" s="226">
        <v>64.16</v>
      </c>
      <c r="G14" s="578">
        <v>100</v>
      </c>
      <c r="H14" s="619">
        <f t="shared" si="0"/>
        <v>1</v>
      </c>
    </row>
    <row r="15" spans="1:8" ht="12.75">
      <c r="A15" s="16">
        <v>4</v>
      </c>
      <c r="B15" s="6" t="s">
        <v>218</v>
      </c>
      <c r="C15" s="127">
        <v>142.217</v>
      </c>
      <c r="D15" s="578">
        <v>30</v>
      </c>
      <c r="E15" s="266">
        <v>160.41</v>
      </c>
      <c r="F15" s="266">
        <v>160.41</v>
      </c>
      <c r="G15" s="578">
        <v>30</v>
      </c>
      <c r="H15" s="619">
        <f t="shared" si="0"/>
        <v>1</v>
      </c>
    </row>
    <row r="16" spans="1:8" ht="12.75">
      <c r="A16" s="16">
        <v>5</v>
      </c>
      <c r="B16" s="6" t="s">
        <v>219</v>
      </c>
      <c r="C16" s="127">
        <v>283.491</v>
      </c>
      <c r="D16" s="578">
        <v>70</v>
      </c>
      <c r="E16" s="226">
        <v>160.41</v>
      </c>
      <c r="F16" s="226">
        <v>160.41</v>
      </c>
      <c r="G16" s="578">
        <v>70</v>
      </c>
      <c r="H16" s="619">
        <f t="shared" si="0"/>
        <v>1</v>
      </c>
    </row>
    <row r="17" spans="1:8" ht="12.75">
      <c r="A17" s="16">
        <v>6</v>
      </c>
      <c r="B17" s="6" t="s">
        <v>220</v>
      </c>
      <c r="C17" s="127">
        <v>57.452</v>
      </c>
      <c r="D17" s="578">
        <v>250</v>
      </c>
      <c r="E17" s="226">
        <v>64.16</v>
      </c>
      <c r="F17" s="226">
        <v>64.16</v>
      </c>
      <c r="G17" s="578">
        <v>250</v>
      </c>
      <c r="H17" s="619">
        <f t="shared" si="0"/>
        <v>1</v>
      </c>
    </row>
    <row r="18" spans="1:8" ht="12.75">
      <c r="A18" s="16">
        <v>7</v>
      </c>
      <c r="B18" s="6" t="s">
        <v>223</v>
      </c>
      <c r="C18" s="127">
        <v>142.217</v>
      </c>
      <c r="D18" s="578">
        <v>100</v>
      </c>
      <c r="E18" s="226">
        <v>160.41</v>
      </c>
      <c r="F18" s="226">
        <v>160.41</v>
      </c>
      <c r="G18" s="578">
        <v>100</v>
      </c>
      <c r="H18" s="619">
        <f t="shared" si="0"/>
        <v>1</v>
      </c>
    </row>
    <row r="19" spans="1:8" ht="12.75">
      <c r="A19" s="16">
        <v>8</v>
      </c>
      <c r="B19" s="6" t="s">
        <v>225</v>
      </c>
      <c r="C19" s="127">
        <v>57.452</v>
      </c>
      <c r="D19" s="578">
        <v>300</v>
      </c>
      <c r="E19" s="226">
        <v>64.16</v>
      </c>
      <c r="F19" s="226">
        <v>64.16</v>
      </c>
      <c r="G19" s="578">
        <v>300</v>
      </c>
      <c r="H19" s="619">
        <f t="shared" si="0"/>
        <v>1</v>
      </c>
    </row>
    <row r="20" spans="1:8" ht="12.75">
      <c r="A20" s="16">
        <v>9</v>
      </c>
      <c r="B20" s="6" t="s">
        <v>226</v>
      </c>
      <c r="C20" s="127">
        <v>142.217</v>
      </c>
      <c r="D20" s="578">
        <v>50</v>
      </c>
      <c r="E20" s="226">
        <v>160.41</v>
      </c>
      <c r="F20" s="226">
        <v>160.41</v>
      </c>
      <c r="G20" s="578">
        <v>50</v>
      </c>
      <c r="H20" s="619">
        <f t="shared" si="0"/>
        <v>1</v>
      </c>
    </row>
    <row r="21" spans="1:8" ht="12.75">
      <c r="A21" s="16">
        <v>10</v>
      </c>
      <c r="B21" s="6" t="s">
        <v>227</v>
      </c>
      <c r="C21" s="127">
        <v>57.452</v>
      </c>
      <c r="D21" s="578">
        <v>225.29</v>
      </c>
      <c r="E21" s="226">
        <v>64.16</v>
      </c>
      <c r="F21" s="226">
        <v>64.16</v>
      </c>
      <c r="G21" s="578">
        <v>225.29</v>
      </c>
      <c r="H21" s="619">
        <f t="shared" si="0"/>
        <v>1</v>
      </c>
    </row>
    <row r="22" spans="1:8" ht="12.75">
      <c r="A22" s="16">
        <v>11</v>
      </c>
      <c r="B22" s="6" t="s">
        <v>228</v>
      </c>
      <c r="C22" s="127">
        <v>142.217</v>
      </c>
      <c r="D22" s="578">
        <v>50</v>
      </c>
      <c r="E22" s="226">
        <v>160.41</v>
      </c>
      <c r="F22" s="226">
        <v>160.41</v>
      </c>
      <c r="G22" s="578">
        <v>50</v>
      </c>
      <c r="H22" s="619">
        <f t="shared" si="0"/>
        <v>1</v>
      </c>
    </row>
    <row r="23" spans="1:8" ht="12.75">
      <c r="A23" s="16">
        <v>12</v>
      </c>
      <c r="B23" s="6" t="s">
        <v>421</v>
      </c>
      <c r="C23" s="127">
        <v>142.217</v>
      </c>
      <c r="D23" s="578">
        <v>50</v>
      </c>
      <c r="E23" s="226">
        <v>160.41</v>
      </c>
      <c r="F23" s="226">
        <v>160.41</v>
      </c>
      <c r="G23" s="578">
        <v>50</v>
      </c>
      <c r="H23" s="619">
        <f t="shared" si="0"/>
        <v>1</v>
      </c>
    </row>
    <row r="24" spans="1:8" ht="12.75">
      <c r="A24" s="16">
        <v>13</v>
      </c>
      <c r="B24" s="6" t="s">
        <v>422</v>
      </c>
      <c r="C24" s="127">
        <v>57.452</v>
      </c>
      <c r="D24" s="578">
        <v>70</v>
      </c>
      <c r="E24" s="226">
        <v>64.16</v>
      </c>
      <c r="F24" s="226">
        <v>64.16</v>
      </c>
      <c r="G24" s="578">
        <v>70</v>
      </c>
      <c r="H24" s="619">
        <f t="shared" si="0"/>
        <v>1</v>
      </c>
    </row>
    <row r="25" spans="1:8" ht="12.75">
      <c r="A25" s="16">
        <v>14</v>
      </c>
      <c r="B25" s="6" t="s">
        <v>423</v>
      </c>
      <c r="C25" s="127">
        <v>142.217</v>
      </c>
      <c r="D25" s="578">
        <v>1008</v>
      </c>
      <c r="E25" s="226">
        <v>160.41</v>
      </c>
      <c r="F25" s="226">
        <v>160.41</v>
      </c>
      <c r="G25" s="578">
        <v>1008</v>
      </c>
      <c r="H25" s="619">
        <f t="shared" si="0"/>
        <v>1</v>
      </c>
    </row>
    <row r="26" spans="1:8" ht="12.75">
      <c r="A26" s="16">
        <v>15</v>
      </c>
      <c r="B26" s="6" t="s">
        <v>229</v>
      </c>
      <c r="C26" s="127"/>
      <c r="D26" s="578">
        <v>30</v>
      </c>
      <c r="E26" s="226"/>
      <c r="F26" s="226"/>
      <c r="G26" s="578">
        <v>30</v>
      </c>
      <c r="H26" s="619">
        <f t="shared" si="0"/>
        <v>1</v>
      </c>
    </row>
    <row r="27" spans="1:8" s="19" customFormat="1" ht="12.75">
      <c r="A27" s="815" t="s">
        <v>425</v>
      </c>
      <c r="B27" s="816"/>
      <c r="C27" s="131">
        <f>SUM(C12:C25)</f>
        <v>1623.7220000000002</v>
      </c>
      <c r="D27" s="131">
        <f>SUM(D12:D26)</f>
        <v>2583.29</v>
      </c>
      <c r="E27" s="131">
        <v>2905.9</v>
      </c>
      <c r="F27" s="131">
        <v>2776.2</v>
      </c>
      <c r="G27" s="131">
        <f>SUM(G12:G26)</f>
        <v>2583.29</v>
      </c>
      <c r="H27" s="620">
        <f>G27/D27</f>
        <v>1</v>
      </c>
    </row>
    <row r="28" spans="1:3" ht="12.75" customHeight="1" hidden="1">
      <c r="A28" s="20"/>
      <c r="B28" s="20"/>
      <c r="C28" s="20"/>
    </row>
    <row r="29" ht="12.75" customHeight="1" hidden="1"/>
    <row r="30" ht="12.75" hidden="1">
      <c r="C30" s="25"/>
    </row>
  </sheetData>
  <sheetProtection/>
  <mergeCells count="1">
    <mergeCell ref="A27:B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5"/>
  </sheetPr>
  <dimension ref="A1:AD31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4.57421875" style="7" customWidth="1"/>
    <col min="2" max="2" width="23.8515625" style="7" customWidth="1"/>
    <col min="3" max="3" width="16.28125" style="7" hidden="1" customWidth="1"/>
    <col min="4" max="4" width="20.7109375" style="216" customWidth="1"/>
    <col min="5" max="5" width="11.57421875" style="216" hidden="1" customWidth="1"/>
    <col min="6" max="6" width="10.57421875" style="216" hidden="1" customWidth="1"/>
    <col min="7" max="7" width="12.28125" style="7" customWidth="1"/>
    <col min="8" max="8" width="13.8515625" style="7" customWidth="1"/>
    <col min="9" max="16384" width="9.140625" style="7" customWidth="1"/>
  </cols>
  <sheetData>
    <row r="1" spans="4:6" s="4" customFormat="1" ht="12.75">
      <c r="D1" s="215" t="s">
        <v>175</v>
      </c>
      <c r="E1" s="215"/>
      <c r="F1" s="215"/>
    </row>
    <row r="2" spans="4:6" s="4" customFormat="1" ht="12.75">
      <c r="D2" s="215" t="s">
        <v>356</v>
      </c>
      <c r="E2" s="215"/>
      <c r="F2" s="215"/>
    </row>
    <row r="3" spans="4:6" s="4" customFormat="1" ht="12.75">
      <c r="D3" s="215" t="s">
        <v>500</v>
      </c>
      <c r="E3" s="215"/>
      <c r="F3" s="215"/>
    </row>
    <row r="4" spans="4:6" s="4" customFormat="1" ht="12.75">
      <c r="D4" s="215" t="s">
        <v>501</v>
      </c>
      <c r="E4" s="215"/>
      <c r="F4" s="215"/>
    </row>
    <row r="5" spans="3:6" s="4" customFormat="1" ht="12.75">
      <c r="C5"/>
      <c r="D5" s="215"/>
      <c r="E5" s="215"/>
      <c r="F5" s="215"/>
    </row>
    <row r="7" spans="1:7" ht="41.25" customHeight="1">
      <c r="A7" s="818" t="s">
        <v>993</v>
      </c>
      <c r="B7" s="818"/>
      <c r="C7" s="818"/>
      <c r="D7" s="818"/>
      <c r="E7" s="818"/>
      <c r="F7" s="818"/>
      <c r="G7" s="818"/>
    </row>
    <row r="8" spans="3:6" s="2" customFormat="1" ht="12.75">
      <c r="C8" s="9"/>
      <c r="D8" s="217"/>
      <c r="E8" s="217"/>
      <c r="F8" s="217"/>
    </row>
    <row r="10" spans="1:30" s="12" customFormat="1" ht="21.75" customHeight="1">
      <c r="A10" s="23" t="s">
        <v>502</v>
      </c>
      <c r="B10" s="23" t="s">
        <v>212</v>
      </c>
      <c r="C10" s="132" t="s">
        <v>171</v>
      </c>
      <c r="D10" s="218" t="s">
        <v>171</v>
      </c>
      <c r="E10" s="218" t="s">
        <v>171</v>
      </c>
      <c r="F10" s="218" t="s">
        <v>171</v>
      </c>
      <c r="G10" s="218" t="s">
        <v>171</v>
      </c>
      <c r="H10" s="218" t="s">
        <v>171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  <c r="X10" s="11"/>
      <c r="Y10" s="11"/>
      <c r="Z10" s="11"/>
      <c r="AA10" s="11"/>
      <c r="AB10" s="11"/>
      <c r="AC10" s="11"/>
      <c r="AD10" s="11"/>
    </row>
    <row r="11" spans="1:30" s="3" customFormat="1" ht="27" customHeight="1">
      <c r="A11" s="26"/>
      <c r="B11" s="26"/>
      <c r="C11" s="1">
        <v>2012</v>
      </c>
      <c r="D11" s="143" t="s">
        <v>1021</v>
      </c>
      <c r="E11" s="143">
        <v>2016</v>
      </c>
      <c r="F11" s="143">
        <v>2017</v>
      </c>
      <c r="G11" s="143" t="s">
        <v>1022</v>
      </c>
      <c r="H11" s="143" t="s">
        <v>1018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  <c r="X11" s="14"/>
      <c r="Y11" s="14"/>
      <c r="Z11" s="14"/>
      <c r="AA11" s="14"/>
      <c r="AB11" s="14"/>
      <c r="AC11" s="14"/>
      <c r="AD11" s="14"/>
    </row>
    <row r="12" spans="1:30" ht="12.75">
      <c r="A12" s="16">
        <v>1</v>
      </c>
      <c r="B12" s="6" t="s">
        <v>214</v>
      </c>
      <c r="C12" s="127">
        <v>142.217</v>
      </c>
      <c r="D12" s="226">
        <v>90</v>
      </c>
      <c r="E12" s="226">
        <v>160.41</v>
      </c>
      <c r="F12" s="226">
        <v>160.41</v>
      </c>
      <c r="G12" s="226">
        <v>90</v>
      </c>
      <c r="H12" s="621">
        <f>G12/D12</f>
        <v>1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8"/>
      <c r="X12" s="18"/>
      <c r="Y12" s="18"/>
      <c r="Z12" s="18"/>
      <c r="AA12" s="18"/>
      <c r="AB12" s="18"/>
      <c r="AC12" s="18"/>
      <c r="AD12" s="18"/>
    </row>
    <row r="13" spans="1:8" ht="12.75">
      <c r="A13" s="16">
        <v>2</v>
      </c>
      <c r="B13" s="6" t="s">
        <v>216</v>
      </c>
      <c r="C13" s="127">
        <v>57.452</v>
      </c>
      <c r="D13" s="226">
        <v>160</v>
      </c>
      <c r="E13" s="226">
        <v>64.16</v>
      </c>
      <c r="F13" s="226">
        <v>64.16</v>
      </c>
      <c r="G13" s="226">
        <v>160</v>
      </c>
      <c r="H13" s="621">
        <f aca="true" t="shared" si="0" ref="H13:H25">G13/D13</f>
        <v>1</v>
      </c>
    </row>
    <row r="14" spans="1:8" ht="12.75">
      <c r="A14" s="16">
        <v>3</v>
      </c>
      <c r="B14" s="6" t="s">
        <v>217</v>
      </c>
      <c r="C14" s="127">
        <v>142.217</v>
      </c>
      <c r="D14" s="226">
        <v>130</v>
      </c>
      <c r="E14" s="226">
        <v>160.41</v>
      </c>
      <c r="F14" s="226">
        <v>160.41</v>
      </c>
      <c r="G14" s="226">
        <v>129.1</v>
      </c>
      <c r="H14" s="621">
        <f t="shared" si="0"/>
        <v>0.9930769230769231</v>
      </c>
    </row>
    <row r="15" spans="1:8" ht="12.75">
      <c r="A15" s="16">
        <v>4</v>
      </c>
      <c r="B15" s="6" t="s">
        <v>218</v>
      </c>
      <c r="C15" s="127">
        <v>142.217</v>
      </c>
      <c r="D15" s="226">
        <v>120</v>
      </c>
      <c r="E15" s="266">
        <v>160.41</v>
      </c>
      <c r="F15" s="266">
        <v>160.41</v>
      </c>
      <c r="G15" s="226">
        <v>120</v>
      </c>
      <c r="H15" s="621">
        <f t="shared" si="0"/>
        <v>1</v>
      </c>
    </row>
    <row r="16" spans="1:8" ht="12.75">
      <c r="A16" s="16">
        <v>5</v>
      </c>
      <c r="B16" s="6" t="s">
        <v>220</v>
      </c>
      <c r="C16" s="127">
        <v>57.452</v>
      </c>
      <c r="D16" s="226">
        <v>50</v>
      </c>
      <c r="E16" s="226">
        <v>64.16</v>
      </c>
      <c r="F16" s="226">
        <v>64.16</v>
      </c>
      <c r="G16" s="226">
        <v>50</v>
      </c>
      <c r="H16" s="621">
        <f t="shared" si="0"/>
        <v>1</v>
      </c>
    </row>
    <row r="17" spans="1:8" ht="12.75">
      <c r="A17" s="16">
        <v>6</v>
      </c>
      <c r="B17" s="6" t="s">
        <v>223</v>
      </c>
      <c r="C17" s="127">
        <v>142.217</v>
      </c>
      <c r="D17" s="226">
        <v>150</v>
      </c>
      <c r="E17" s="226">
        <v>160.41</v>
      </c>
      <c r="F17" s="226">
        <v>160.41</v>
      </c>
      <c r="G17" s="226">
        <f>150-0.25</f>
        <v>149.75</v>
      </c>
      <c r="H17" s="621">
        <f t="shared" si="0"/>
        <v>0.9983333333333333</v>
      </c>
    </row>
    <row r="18" spans="1:8" ht="12.75">
      <c r="A18" s="16">
        <v>7</v>
      </c>
      <c r="B18" s="6" t="s">
        <v>225</v>
      </c>
      <c r="C18" s="127">
        <v>57.452</v>
      </c>
      <c r="D18" s="226">
        <v>100</v>
      </c>
      <c r="E18" s="226">
        <v>64.16</v>
      </c>
      <c r="F18" s="226">
        <v>64.16</v>
      </c>
      <c r="G18" s="226">
        <f>100-20</f>
        <v>80</v>
      </c>
      <c r="H18" s="621">
        <f t="shared" si="0"/>
        <v>0.8</v>
      </c>
    </row>
    <row r="19" spans="1:8" ht="12.75">
      <c r="A19" s="16">
        <v>8</v>
      </c>
      <c r="B19" s="6" t="s">
        <v>226</v>
      </c>
      <c r="C19" s="127">
        <v>142.217</v>
      </c>
      <c r="D19" s="226">
        <v>120</v>
      </c>
      <c r="E19" s="226">
        <v>160.41</v>
      </c>
      <c r="F19" s="226">
        <v>160.41</v>
      </c>
      <c r="G19" s="226">
        <v>120</v>
      </c>
      <c r="H19" s="621">
        <f t="shared" si="0"/>
        <v>1</v>
      </c>
    </row>
    <row r="20" spans="1:8" ht="12.75">
      <c r="A20" s="16">
        <v>9</v>
      </c>
      <c r="B20" s="6" t="s">
        <v>227</v>
      </c>
      <c r="C20" s="127">
        <v>57.452</v>
      </c>
      <c r="D20" s="226">
        <v>60</v>
      </c>
      <c r="E20" s="226">
        <v>64.16</v>
      </c>
      <c r="F20" s="226">
        <v>64.16</v>
      </c>
      <c r="G20" s="226">
        <v>60</v>
      </c>
      <c r="H20" s="621">
        <f t="shared" si="0"/>
        <v>1</v>
      </c>
    </row>
    <row r="21" spans="1:8" ht="12.75">
      <c r="A21" s="16">
        <v>10</v>
      </c>
      <c r="B21" s="6" t="s">
        <v>228</v>
      </c>
      <c r="C21" s="127">
        <v>142.217</v>
      </c>
      <c r="D21" s="226">
        <v>220</v>
      </c>
      <c r="E21" s="226">
        <v>160.41</v>
      </c>
      <c r="F21" s="226">
        <v>160.41</v>
      </c>
      <c r="G21" s="226">
        <v>220</v>
      </c>
      <c r="H21" s="621">
        <f t="shared" si="0"/>
        <v>1</v>
      </c>
    </row>
    <row r="22" spans="1:8" ht="12.75">
      <c r="A22" s="16">
        <v>11</v>
      </c>
      <c r="B22" s="6" t="s">
        <v>229</v>
      </c>
      <c r="C22" s="127">
        <v>57.452</v>
      </c>
      <c r="D22" s="226">
        <v>265</v>
      </c>
      <c r="E22" s="226">
        <v>64.16</v>
      </c>
      <c r="F22" s="226">
        <v>64.16</v>
      </c>
      <c r="G22" s="226">
        <v>265</v>
      </c>
      <c r="H22" s="621">
        <f t="shared" si="0"/>
        <v>1</v>
      </c>
    </row>
    <row r="23" spans="1:8" ht="12.75">
      <c r="A23" s="16">
        <v>12</v>
      </c>
      <c r="B23" s="6" t="s">
        <v>421</v>
      </c>
      <c r="C23" s="127">
        <v>142.217</v>
      </c>
      <c r="D23" s="226">
        <v>60</v>
      </c>
      <c r="E23" s="226">
        <v>160.41</v>
      </c>
      <c r="F23" s="226">
        <v>160.41</v>
      </c>
      <c r="G23" s="226">
        <v>60</v>
      </c>
      <c r="H23" s="621">
        <f t="shared" si="0"/>
        <v>1</v>
      </c>
    </row>
    <row r="24" spans="1:8" ht="12.75">
      <c r="A24" s="16">
        <v>13</v>
      </c>
      <c r="B24" s="6" t="s">
        <v>423</v>
      </c>
      <c r="C24" s="127">
        <v>142.217</v>
      </c>
      <c r="D24" s="226">
        <v>350</v>
      </c>
      <c r="E24" s="226">
        <v>160.41</v>
      </c>
      <c r="F24" s="226">
        <v>160.41</v>
      </c>
      <c r="G24" s="226">
        <v>350</v>
      </c>
      <c r="H24" s="621">
        <f t="shared" si="0"/>
        <v>1</v>
      </c>
    </row>
    <row r="25" spans="1:8" ht="12.75">
      <c r="A25" s="16">
        <v>14</v>
      </c>
      <c r="B25" s="6" t="s">
        <v>424</v>
      </c>
      <c r="C25" s="127">
        <v>424.77</v>
      </c>
      <c r="D25" s="226">
        <v>200</v>
      </c>
      <c r="E25" s="226">
        <v>320.8</v>
      </c>
      <c r="F25" s="226">
        <v>320.8</v>
      </c>
      <c r="G25" s="226">
        <f>200-0.2</f>
        <v>199.8</v>
      </c>
      <c r="H25" s="621">
        <f t="shared" si="0"/>
        <v>0.9990000000000001</v>
      </c>
    </row>
    <row r="26" spans="1:8" s="19" customFormat="1" ht="12.75">
      <c r="A26" s="815" t="s">
        <v>425</v>
      </c>
      <c r="B26" s="816"/>
      <c r="C26" s="131">
        <f>SUM(C12:C25)</f>
        <v>1849.7660000000003</v>
      </c>
      <c r="D26" s="131">
        <f>SUM(D12:D25)</f>
        <v>2075</v>
      </c>
      <c r="E26" s="131">
        <v>2905.9</v>
      </c>
      <c r="F26" s="131">
        <v>2776.2</v>
      </c>
      <c r="G26" s="131">
        <f>SUM(G12:G25)</f>
        <v>2053.65</v>
      </c>
      <c r="H26" s="620">
        <f>G26/D26</f>
        <v>0.989710843373494</v>
      </c>
    </row>
    <row r="27" spans="1:3" ht="12.75" customHeight="1" hidden="1">
      <c r="A27" s="20"/>
      <c r="B27" s="20"/>
      <c r="C27" s="20"/>
    </row>
    <row r="28" ht="12.75" customHeight="1" hidden="1"/>
    <row r="29" ht="12.75" hidden="1">
      <c r="C29" s="25"/>
    </row>
    <row r="31" ht="12.75">
      <c r="G31" s="140"/>
    </row>
  </sheetData>
  <sheetProtection/>
  <mergeCells count="2">
    <mergeCell ref="A7:G7"/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5"/>
  </sheetPr>
  <dimension ref="A1:AD26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4.57421875" style="7" customWidth="1"/>
    <col min="2" max="2" width="28.7109375" style="7" customWidth="1"/>
    <col min="3" max="3" width="16.28125" style="7" hidden="1" customWidth="1"/>
    <col min="4" max="4" width="20.7109375" style="216" customWidth="1"/>
    <col min="5" max="5" width="11.57421875" style="216" hidden="1" customWidth="1"/>
    <col min="6" max="6" width="10.57421875" style="216" hidden="1" customWidth="1"/>
    <col min="7" max="7" width="13.421875" style="7" customWidth="1"/>
    <col min="8" max="8" width="12.421875" style="7" customWidth="1"/>
    <col min="9" max="16384" width="9.140625" style="7" customWidth="1"/>
  </cols>
  <sheetData>
    <row r="1" spans="4:6" s="4" customFormat="1" ht="12.75">
      <c r="D1" s="215" t="s">
        <v>174</v>
      </c>
      <c r="E1" s="215"/>
      <c r="F1" s="215"/>
    </row>
    <row r="2" spans="4:6" s="4" customFormat="1" ht="12.75">
      <c r="D2" s="215" t="s">
        <v>356</v>
      </c>
      <c r="E2" s="215"/>
      <c r="F2" s="215"/>
    </row>
    <row r="3" spans="4:6" s="4" customFormat="1" ht="12.75">
      <c r="D3" s="215" t="s">
        <v>500</v>
      </c>
      <c r="E3" s="215"/>
      <c r="F3" s="215"/>
    </row>
    <row r="4" spans="4:6" s="4" customFormat="1" ht="12.75">
      <c r="D4" s="215" t="s">
        <v>501</v>
      </c>
      <c r="E4" s="215"/>
      <c r="F4" s="215"/>
    </row>
    <row r="5" spans="3:6" s="4" customFormat="1" ht="12.75">
      <c r="C5"/>
      <c r="D5" s="215"/>
      <c r="E5" s="215"/>
      <c r="F5" s="215"/>
    </row>
    <row r="6" spans="1:7" ht="29.25" customHeight="1">
      <c r="A6" s="819" t="s">
        <v>994</v>
      </c>
      <c r="B6" s="819"/>
      <c r="C6" s="819"/>
      <c r="D6" s="819"/>
      <c r="E6" s="819"/>
      <c r="F6" s="819"/>
      <c r="G6" s="819"/>
    </row>
    <row r="8" spans="1:30" s="12" customFormat="1" ht="45.75" customHeight="1">
      <c r="A8" s="23" t="s">
        <v>502</v>
      </c>
      <c r="B8" s="23" t="s">
        <v>212</v>
      </c>
      <c r="C8" s="132" t="s">
        <v>171</v>
      </c>
      <c r="D8" s="218" t="s">
        <v>171</v>
      </c>
      <c r="E8" s="218" t="s">
        <v>171</v>
      </c>
      <c r="F8" s="218" t="s">
        <v>171</v>
      </c>
      <c r="G8" s="218" t="s">
        <v>171</v>
      </c>
      <c r="H8" s="218" t="s">
        <v>171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11"/>
      <c r="AB8" s="11"/>
      <c r="AC8" s="11"/>
      <c r="AD8" s="11"/>
    </row>
    <row r="9" spans="1:30" s="3" customFormat="1" ht="25.5">
      <c r="A9" s="26"/>
      <c r="B9" s="26"/>
      <c r="C9" s="1">
        <v>2012</v>
      </c>
      <c r="D9" s="143" t="s">
        <v>1021</v>
      </c>
      <c r="E9" s="143">
        <v>2016</v>
      </c>
      <c r="F9" s="143">
        <v>2017</v>
      </c>
      <c r="G9" s="143" t="s">
        <v>1022</v>
      </c>
      <c r="H9" s="143" t="s">
        <v>1018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4"/>
      <c r="X9" s="14"/>
      <c r="Y9" s="14"/>
      <c r="Z9" s="14"/>
      <c r="AA9" s="14"/>
      <c r="AB9" s="14"/>
      <c r="AC9" s="14"/>
      <c r="AD9" s="14"/>
    </row>
    <row r="10" spans="1:30" ht="12.75">
      <c r="A10" s="16">
        <v>1</v>
      </c>
      <c r="B10" s="6" t="s">
        <v>213</v>
      </c>
      <c r="C10" s="127">
        <v>57.452</v>
      </c>
      <c r="D10" s="226">
        <v>9</v>
      </c>
      <c r="E10" s="226">
        <v>160.41</v>
      </c>
      <c r="F10" s="226">
        <v>160.41</v>
      </c>
      <c r="G10" s="226">
        <v>9</v>
      </c>
      <c r="H10" s="621">
        <f>G10/D10</f>
        <v>1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8"/>
      <c r="X10" s="18"/>
      <c r="Y10" s="18"/>
      <c r="Z10" s="18"/>
      <c r="AA10" s="18"/>
      <c r="AB10" s="18"/>
      <c r="AC10" s="18"/>
      <c r="AD10" s="18"/>
    </row>
    <row r="11" spans="1:30" ht="12.75">
      <c r="A11" s="16">
        <v>2</v>
      </c>
      <c r="B11" s="6" t="s">
        <v>214</v>
      </c>
      <c r="C11" s="127">
        <v>142.217</v>
      </c>
      <c r="D11" s="226">
        <v>9</v>
      </c>
      <c r="E11" s="226">
        <v>160.41</v>
      </c>
      <c r="F11" s="226">
        <v>160.41</v>
      </c>
      <c r="G11" s="226">
        <v>9</v>
      </c>
      <c r="H11" s="621">
        <f aca="true" t="shared" si="0" ref="H11:H22">G11/D11</f>
        <v>1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8"/>
      <c r="X11" s="18"/>
      <c r="Y11" s="18"/>
      <c r="Z11" s="18"/>
      <c r="AA11" s="18"/>
      <c r="AB11" s="18"/>
      <c r="AC11" s="18"/>
      <c r="AD11" s="18"/>
    </row>
    <row r="12" spans="1:30" ht="12.75">
      <c r="A12" s="16">
        <v>3</v>
      </c>
      <c r="B12" s="6" t="s">
        <v>215</v>
      </c>
      <c r="C12" s="127">
        <v>142.217</v>
      </c>
      <c r="D12" s="226">
        <v>9</v>
      </c>
      <c r="E12" s="226">
        <v>160.41</v>
      </c>
      <c r="F12" s="226">
        <v>160.41</v>
      </c>
      <c r="G12" s="226">
        <v>9</v>
      </c>
      <c r="H12" s="621">
        <f t="shared" si="0"/>
        <v>1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8" ht="12.75">
      <c r="A13" s="16">
        <v>4</v>
      </c>
      <c r="B13" s="6" t="s">
        <v>216</v>
      </c>
      <c r="C13" s="127">
        <v>57.452</v>
      </c>
      <c r="D13" s="226">
        <v>8</v>
      </c>
      <c r="E13" s="226">
        <v>64.16</v>
      </c>
      <c r="F13" s="226">
        <v>64.16</v>
      </c>
      <c r="G13" s="226">
        <v>8</v>
      </c>
      <c r="H13" s="621">
        <f t="shared" si="0"/>
        <v>1</v>
      </c>
    </row>
    <row r="14" spans="1:8" ht="12.75">
      <c r="A14" s="16">
        <v>5</v>
      </c>
      <c r="B14" s="6" t="s">
        <v>217</v>
      </c>
      <c r="C14" s="127">
        <v>142.217</v>
      </c>
      <c r="D14" s="226">
        <v>10</v>
      </c>
      <c r="E14" s="226">
        <v>160.41</v>
      </c>
      <c r="F14" s="226">
        <v>160.41</v>
      </c>
      <c r="G14" s="226">
        <v>10</v>
      </c>
      <c r="H14" s="621">
        <f t="shared" si="0"/>
        <v>1</v>
      </c>
    </row>
    <row r="15" spans="1:8" ht="12.75">
      <c r="A15" s="16">
        <v>6</v>
      </c>
      <c r="B15" s="6" t="s">
        <v>219</v>
      </c>
      <c r="C15" s="127">
        <v>283.491</v>
      </c>
      <c r="D15" s="226">
        <v>11</v>
      </c>
      <c r="E15" s="226">
        <v>160.41</v>
      </c>
      <c r="F15" s="226">
        <v>160.41</v>
      </c>
      <c r="G15" s="226">
        <v>11</v>
      </c>
      <c r="H15" s="621">
        <f t="shared" si="0"/>
        <v>1</v>
      </c>
    </row>
    <row r="16" spans="1:8" ht="12.75">
      <c r="A16" s="16">
        <v>7</v>
      </c>
      <c r="B16" s="6" t="s">
        <v>221</v>
      </c>
      <c r="C16" s="127">
        <v>57.452</v>
      </c>
      <c r="D16" s="226">
        <v>8</v>
      </c>
      <c r="E16" s="226">
        <v>64.16</v>
      </c>
      <c r="F16" s="226">
        <v>64.16</v>
      </c>
      <c r="G16" s="226">
        <v>8</v>
      </c>
      <c r="H16" s="621">
        <f t="shared" si="0"/>
        <v>1</v>
      </c>
    </row>
    <row r="17" spans="1:8" ht="12.75">
      <c r="A17" s="16">
        <v>8</v>
      </c>
      <c r="B17" s="6" t="s">
        <v>222</v>
      </c>
      <c r="C17" s="127">
        <v>142.217</v>
      </c>
      <c r="D17" s="226">
        <v>10</v>
      </c>
      <c r="E17" s="226">
        <v>160.41</v>
      </c>
      <c r="F17" s="226">
        <v>160.41</v>
      </c>
      <c r="G17" s="226">
        <v>10</v>
      </c>
      <c r="H17" s="621">
        <f t="shared" si="0"/>
        <v>1</v>
      </c>
    </row>
    <row r="18" spans="1:8" ht="12.75">
      <c r="A18" s="16">
        <v>9</v>
      </c>
      <c r="B18" s="6" t="s">
        <v>223</v>
      </c>
      <c r="C18" s="127">
        <v>142.217</v>
      </c>
      <c r="D18" s="226">
        <v>11.2</v>
      </c>
      <c r="E18" s="226">
        <v>160.41</v>
      </c>
      <c r="F18" s="226">
        <v>160.41</v>
      </c>
      <c r="G18" s="226">
        <v>11.2</v>
      </c>
      <c r="H18" s="621">
        <f t="shared" si="0"/>
        <v>1</v>
      </c>
    </row>
    <row r="19" spans="1:8" ht="12.75">
      <c r="A19" s="16">
        <v>10</v>
      </c>
      <c r="B19" s="6" t="s">
        <v>227</v>
      </c>
      <c r="C19" s="127">
        <v>57.452</v>
      </c>
      <c r="D19" s="226">
        <v>8</v>
      </c>
      <c r="E19" s="226">
        <v>64.16</v>
      </c>
      <c r="F19" s="226">
        <v>64.16</v>
      </c>
      <c r="G19" s="226">
        <v>8</v>
      </c>
      <c r="H19" s="621">
        <f t="shared" si="0"/>
        <v>1</v>
      </c>
    </row>
    <row r="20" spans="1:8" ht="12.75">
      <c r="A20" s="16">
        <v>11</v>
      </c>
      <c r="B20" s="6" t="s">
        <v>229</v>
      </c>
      <c r="C20" s="127">
        <v>57.452</v>
      </c>
      <c r="D20" s="226">
        <v>8</v>
      </c>
      <c r="E20" s="226">
        <v>64.16</v>
      </c>
      <c r="F20" s="226">
        <v>64.16</v>
      </c>
      <c r="G20" s="226">
        <v>8</v>
      </c>
      <c r="H20" s="621">
        <f t="shared" si="0"/>
        <v>1</v>
      </c>
    </row>
    <row r="21" spans="1:8" ht="12.75">
      <c r="A21" s="16">
        <v>12</v>
      </c>
      <c r="B21" s="6" t="s">
        <v>421</v>
      </c>
      <c r="C21" s="127">
        <v>142.217</v>
      </c>
      <c r="D21" s="226">
        <v>8</v>
      </c>
      <c r="E21" s="226">
        <v>160.41</v>
      </c>
      <c r="F21" s="226">
        <v>160.41</v>
      </c>
      <c r="G21" s="226">
        <v>8</v>
      </c>
      <c r="H21" s="621">
        <f t="shared" si="0"/>
        <v>1</v>
      </c>
    </row>
    <row r="22" spans="1:8" ht="12.75">
      <c r="A22" s="16">
        <v>13</v>
      </c>
      <c r="B22" s="6" t="s">
        <v>424</v>
      </c>
      <c r="C22" s="127">
        <v>424.77</v>
      </c>
      <c r="D22" s="226">
        <v>11</v>
      </c>
      <c r="E22" s="226">
        <v>320.8</v>
      </c>
      <c r="F22" s="226">
        <v>320.8</v>
      </c>
      <c r="G22" s="226">
        <v>11</v>
      </c>
      <c r="H22" s="621">
        <f t="shared" si="0"/>
        <v>1</v>
      </c>
    </row>
    <row r="23" spans="1:8" s="19" customFormat="1" ht="12.75">
      <c r="A23" s="815" t="s">
        <v>425</v>
      </c>
      <c r="B23" s="816"/>
      <c r="C23" s="131">
        <f>SUM(C10:C22)</f>
        <v>1848.8230000000003</v>
      </c>
      <c r="D23" s="131">
        <f>SUM(D10:D22)</f>
        <v>120.2</v>
      </c>
      <c r="E23" s="131">
        <v>2905.9</v>
      </c>
      <c r="F23" s="131">
        <v>2776.2</v>
      </c>
      <c r="G23" s="131">
        <f>SUM(G10:G22)</f>
        <v>120.2</v>
      </c>
      <c r="H23" s="620">
        <f>G23/D23</f>
        <v>1</v>
      </c>
    </row>
    <row r="24" spans="1:3" ht="12.75" customHeight="1" hidden="1">
      <c r="A24" s="20"/>
      <c r="B24" s="20"/>
      <c r="C24" s="20"/>
    </row>
    <row r="25" ht="12.75" customHeight="1" hidden="1"/>
    <row r="26" ht="12.75" hidden="1">
      <c r="C26" s="25"/>
    </row>
  </sheetData>
  <sheetProtection/>
  <mergeCells count="2">
    <mergeCell ref="A23:B23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AD19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4.57421875" style="7" customWidth="1"/>
    <col min="2" max="2" width="28.7109375" style="7" customWidth="1"/>
    <col min="3" max="3" width="16.28125" style="7" hidden="1" customWidth="1"/>
    <col min="4" max="4" width="17.8515625" style="216" customWidth="1"/>
    <col min="5" max="5" width="11.57421875" style="216" hidden="1" customWidth="1"/>
    <col min="6" max="6" width="10.57421875" style="216" hidden="1" customWidth="1"/>
    <col min="7" max="7" width="15.140625" style="7" customWidth="1"/>
    <col min="8" max="8" width="13.28125" style="7" customWidth="1"/>
    <col min="9" max="16384" width="9.140625" style="7" customWidth="1"/>
  </cols>
  <sheetData>
    <row r="1" spans="4:6" s="4" customFormat="1" ht="12.75">
      <c r="D1" s="215" t="s">
        <v>173</v>
      </c>
      <c r="E1" s="215"/>
      <c r="F1" s="215"/>
    </row>
    <row r="2" spans="4:6" s="4" customFormat="1" ht="12.75">
      <c r="D2" s="215" t="s">
        <v>356</v>
      </c>
      <c r="E2" s="215"/>
      <c r="F2" s="215"/>
    </row>
    <row r="3" spans="4:6" s="4" customFormat="1" ht="12.75">
      <c r="D3" s="215" t="s">
        <v>500</v>
      </c>
      <c r="E3" s="215"/>
      <c r="F3" s="215"/>
    </row>
    <row r="4" spans="4:6" s="4" customFormat="1" ht="12.75">
      <c r="D4" s="215" t="s">
        <v>501</v>
      </c>
      <c r="E4" s="215"/>
      <c r="F4" s="215"/>
    </row>
    <row r="5" spans="3:6" s="4" customFormat="1" ht="12.75">
      <c r="C5"/>
      <c r="D5" s="215"/>
      <c r="E5" s="215"/>
      <c r="F5" s="215"/>
    </row>
    <row r="6" spans="1:7" ht="29.25" customHeight="1">
      <c r="A6" s="819" t="s">
        <v>998</v>
      </c>
      <c r="B6" s="819"/>
      <c r="C6" s="819"/>
      <c r="D6" s="819"/>
      <c r="E6" s="819"/>
      <c r="F6" s="819"/>
      <c r="G6" s="819"/>
    </row>
    <row r="8" spans="1:30" s="12" customFormat="1" ht="28.5" customHeight="1">
      <c r="A8" s="23" t="s">
        <v>502</v>
      </c>
      <c r="B8" s="23" t="s">
        <v>212</v>
      </c>
      <c r="C8" s="132" t="s">
        <v>171</v>
      </c>
      <c r="D8" s="218" t="s">
        <v>171</v>
      </c>
      <c r="E8" s="218" t="s">
        <v>171</v>
      </c>
      <c r="F8" s="218" t="s">
        <v>171</v>
      </c>
      <c r="G8" s="218" t="s">
        <v>171</v>
      </c>
      <c r="H8" s="218" t="s">
        <v>171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11"/>
      <c r="AB8" s="11"/>
      <c r="AC8" s="11"/>
      <c r="AD8" s="11"/>
    </row>
    <row r="9" spans="1:30" s="3" customFormat="1" ht="26.25" customHeight="1">
      <c r="A9" s="26"/>
      <c r="B9" s="26"/>
      <c r="C9" s="1">
        <v>2012</v>
      </c>
      <c r="D9" s="143" t="s">
        <v>1021</v>
      </c>
      <c r="E9" s="143">
        <v>2016</v>
      </c>
      <c r="F9" s="143">
        <v>2017</v>
      </c>
      <c r="G9" s="143" t="s">
        <v>1022</v>
      </c>
      <c r="H9" s="143" t="s">
        <v>1018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4"/>
      <c r="X9" s="14"/>
      <c r="Y9" s="14"/>
      <c r="Z9" s="14"/>
      <c r="AA9" s="14"/>
      <c r="AB9" s="14"/>
      <c r="AC9" s="14"/>
      <c r="AD9" s="14"/>
    </row>
    <row r="10" spans="1:8" ht="12.75">
      <c r="A10" s="16">
        <v>1</v>
      </c>
      <c r="B10" s="6" t="s">
        <v>216</v>
      </c>
      <c r="C10" s="127">
        <v>57.452</v>
      </c>
      <c r="D10" s="226">
        <v>25.18</v>
      </c>
      <c r="E10" s="226">
        <v>64.16</v>
      </c>
      <c r="F10" s="226">
        <v>64.16</v>
      </c>
      <c r="G10" s="226">
        <v>25.18</v>
      </c>
      <c r="H10" s="621">
        <f aca="true" t="shared" si="0" ref="H10:H16">G10/D10</f>
        <v>1</v>
      </c>
    </row>
    <row r="11" spans="1:8" ht="12.75">
      <c r="A11" s="16">
        <v>2</v>
      </c>
      <c r="B11" s="6" t="s">
        <v>219</v>
      </c>
      <c r="C11" s="127">
        <v>283.491</v>
      </c>
      <c r="D11" s="226">
        <v>2724.31</v>
      </c>
      <c r="E11" s="226">
        <v>160.41</v>
      </c>
      <c r="F11" s="226">
        <v>160.41</v>
      </c>
      <c r="G11" s="226">
        <v>2724.31</v>
      </c>
      <c r="H11" s="621">
        <f t="shared" si="0"/>
        <v>1</v>
      </c>
    </row>
    <row r="12" spans="1:8" ht="12.75">
      <c r="A12" s="16">
        <v>3</v>
      </c>
      <c r="B12" s="6" t="s">
        <v>222</v>
      </c>
      <c r="C12" s="127">
        <v>142.217</v>
      </c>
      <c r="D12" s="226">
        <v>407.4</v>
      </c>
      <c r="E12" s="226">
        <v>160.41</v>
      </c>
      <c r="F12" s="226">
        <v>160.41</v>
      </c>
      <c r="G12" s="226">
        <v>407.4</v>
      </c>
      <c r="H12" s="621">
        <f t="shared" si="0"/>
        <v>1</v>
      </c>
    </row>
    <row r="13" spans="1:8" ht="12.75">
      <c r="A13" s="16">
        <v>4</v>
      </c>
      <c r="B13" s="6" t="s">
        <v>223</v>
      </c>
      <c r="C13" s="127">
        <v>142.217</v>
      </c>
      <c r="D13" s="226">
        <v>217.3</v>
      </c>
      <c r="E13" s="226">
        <v>160.41</v>
      </c>
      <c r="F13" s="226">
        <v>160.41</v>
      </c>
      <c r="G13" s="226">
        <v>217.3</v>
      </c>
      <c r="H13" s="621">
        <f t="shared" si="0"/>
        <v>1</v>
      </c>
    </row>
    <row r="14" spans="1:8" ht="12.75">
      <c r="A14" s="16">
        <v>5</v>
      </c>
      <c r="B14" s="6" t="s">
        <v>999</v>
      </c>
      <c r="C14" s="127">
        <v>57.452</v>
      </c>
      <c r="D14" s="226">
        <v>284.85</v>
      </c>
      <c r="E14" s="226">
        <v>64.16</v>
      </c>
      <c r="F14" s="226">
        <v>64.16</v>
      </c>
      <c r="G14" s="226">
        <v>284.85</v>
      </c>
      <c r="H14" s="621">
        <f t="shared" si="0"/>
        <v>1</v>
      </c>
    </row>
    <row r="15" spans="1:8" ht="12.75">
      <c r="A15" s="16">
        <v>6</v>
      </c>
      <c r="B15" s="6" t="s">
        <v>423</v>
      </c>
      <c r="C15" s="127">
        <v>142.217</v>
      </c>
      <c r="D15" s="226">
        <v>379.53</v>
      </c>
      <c r="E15" s="226">
        <v>160.41</v>
      </c>
      <c r="F15" s="226">
        <v>160.41</v>
      </c>
      <c r="G15" s="226">
        <v>379.53</v>
      </c>
      <c r="H15" s="621">
        <f t="shared" si="0"/>
        <v>1</v>
      </c>
    </row>
    <row r="16" spans="1:8" s="19" customFormat="1" ht="12.75">
      <c r="A16" s="815" t="s">
        <v>425</v>
      </c>
      <c r="B16" s="816"/>
      <c r="C16" s="131">
        <f>SUM(C10:C15)</f>
        <v>825.0459999999999</v>
      </c>
      <c r="D16" s="131">
        <f>SUM(D10:D15)</f>
        <v>4038.5699999999997</v>
      </c>
      <c r="E16" s="131">
        <v>2905.9</v>
      </c>
      <c r="F16" s="131">
        <v>2776.2</v>
      </c>
      <c r="G16" s="131">
        <f>SUM(G10:G15)</f>
        <v>4038.5699999999997</v>
      </c>
      <c r="H16" s="620">
        <f t="shared" si="0"/>
        <v>1</v>
      </c>
    </row>
    <row r="17" spans="1:3" ht="12.75" customHeight="1" hidden="1">
      <c r="A17" s="20"/>
      <c r="B17" s="20"/>
      <c r="C17" s="20"/>
    </row>
    <row r="18" ht="12.75" customHeight="1" hidden="1"/>
    <row r="19" ht="12.75" hidden="1">
      <c r="C19" s="25"/>
    </row>
  </sheetData>
  <sheetProtection/>
  <mergeCells count="2">
    <mergeCell ref="A6:G6"/>
    <mergeCell ref="A16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D42"/>
  <sheetViews>
    <sheetView zoomScale="75" zoomScaleNormal="75" zoomScalePageLayoutView="0" workbookViewId="0" topLeftCell="A15">
      <selection activeCell="D27" sqref="D27"/>
    </sheetView>
  </sheetViews>
  <sheetFormatPr defaultColWidth="9.140625" defaultRowHeight="12.75"/>
  <cols>
    <col min="1" max="1" width="71.00390625" style="0" customWidth="1"/>
    <col min="2" max="2" width="19.7109375" style="0" customWidth="1"/>
    <col min="3" max="3" width="16.421875" style="0" customWidth="1"/>
    <col min="4" max="4" width="18.00390625" style="0" customWidth="1"/>
  </cols>
  <sheetData>
    <row r="1" ht="15.75">
      <c r="B1" s="99" t="s">
        <v>1071</v>
      </c>
    </row>
    <row r="2" ht="15.75">
      <c r="B2" s="99" t="s">
        <v>356</v>
      </c>
    </row>
    <row r="3" ht="15.75">
      <c r="B3" s="99" t="s">
        <v>500</v>
      </c>
    </row>
    <row r="4" ht="15.75">
      <c r="B4" s="99" t="s">
        <v>501</v>
      </c>
    </row>
    <row r="5" ht="12.75">
      <c r="A5" s="98"/>
    </row>
    <row r="7" spans="1:2" s="85" customFormat="1" ht="18.75">
      <c r="A7" s="820" t="s">
        <v>165</v>
      </c>
      <c r="B7" s="821"/>
    </row>
    <row r="8" spans="1:2" s="85" customFormat="1" ht="18.75">
      <c r="A8" s="212" t="s">
        <v>1009</v>
      </c>
      <c r="B8" s="213"/>
    </row>
    <row r="9" s="85" customFormat="1" ht="18"/>
    <row r="10" spans="1:4" ht="37.5" customHeight="1">
      <c r="A10" s="93" t="s">
        <v>166</v>
      </c>
      <c r="B10" s="93" t="s">
        <v>167</v>
      </c>
      <c r="C10" s="93" t="s">
        <v>167</v>
      </c>
      <c r="D10" s="93" t="s">
        <v>167</v>
      </c>
    </row>
    <row r="11" spans="1:4" ht="37.5">
      <c r="A11" s="93">
        <v>1</v>
      </c>
      <c r="B11" s="93" t="s">
        <v>1021</v>
      </c>
      <c r="C11" s="93" t="s">
        <v>1022</v>
      </c>
      <c r="D11" s="93" t="s">
        <v>1018</v>
      </c>
    </row>
    <row r="12" spans="1:4" s="86" customFormat="1" ht="18.75">
      <c r="A12" s="94" t="s">
        <v>168</v>
      </c>
      <c r="B12" s="250">
        <f>B13+B15+B17</f>
        <v>-4119.9</v>
      </c>
      <c r="C12" s="250">
        <f>C13+C15+C17</f>
        <v>-4119.9</v>
      </c>
      <c r="D12" s="635">
        <f>C12/B12</f>
        <v>1</v>
      </c>
    </row>
    <row r="13" spans="1:4" s="86" customFormat="1" ht="18.75">
      <c r="A13" s="95" t="s">
        <v>59</v>
      </c>
      <c r="B13" s="96"/>
      <c r="C13" s="96"/>
      <c r="D13" s="635">
        <v>0</v>
      </c>
    </row>
    <row r="14" spans="1:4" s="86" customFormat="1" ht="56.25">
      <c r="A14" s="95" t="s">
        <v>61</v>
      </c>
      <c r="B14" s="96"/>
      <c r="C14" s="96"/>
      <c r="D14" s="635">
        <v>0</v>
      </c>
    </row>
    <row r="15" spans="1:4" s="86" customFormat="1" ht="37.5">
      <c r="A15" s="97" t="s">
        <v>60</v>
      </c>
      <c r="B15" s="227">
        <v>-4119.9</v>
      </c>
      <c r="C15" s="227">
        <v>-4119.9</v>
      </c>
      <c r="D15" s="635">
        <f aca="true" t="shared" si="0" ref="D15:D25">C15/B15</f>
        <v>1</v>
      </c>
    </row>
    <row r="16" spans="1:4" s="86" customFormat="1" ht="56.25">
      <c r="A16" s="97" t="s">
        <v>61</v>
      </c>
      <c r="B16" s="227"/>
      <c r="C16" s="227"/>
      <c r="D16" s="635">
        <v>0</v>
      </c>
    </row>
    <row r="17" spans="1:4" s="86" customFormat="1" ht="18.75" customHeight="1" hidden="1">
      <c r="A17" s="97"/>
      <c r="B17" s="227"/>
      <c r="C17" s="227"/>
      <c r="D17" s="635" t="e">
        <f t="shared" si="0"/>
        <v>#DIV/0!</v>
      </c>
    </row>
    <row r="18" spans="1:4" s="37" customFormat="1" ht="37.5">
      <c r="A18" s="87" t="s">
        <v>169</v>
      </c>
      <c r="B18" s="88">
        <f>B19+B20</f>
        <v>7000</v>
      </c>
      <c r="C18" s="88">
        <f>C19+C20</f>
        <v>15000</v>
      </c>
      <c r="D18" s="635">
        <f t="shared" si="0"/>
        <v>2.142857142857143</v>
      </c>
    </row>
    <row r="19" spans="1:4" ht="18.75">
      <c r="A19" s="95" t="s">
        <v>59</v>
      </c>
      <c r="B19" s="89">
        <v>15000</v>
      </c>
      <c r="C19" s="89">
        <v>15000</v>
      </c>
      <c r="D19" s="635">
        <f t="shared" si="0"/>
        <v>1</v>
      </c>
    </row>
    <row r="20" spans="1:4" ht="37.5">
      <c r="A20" s="97" t="s">
        <v>60</v>
      </c>
      <c r="B20" s="188">
        <v>-8000</v>
      </c>
      <c r="C20" s="188">
        <v>0</v>
      </c>
      <c r="D20" s="635">
        <f t="shared" si="0"/>
        <v>0</v>
      </c>
    </row>
    <row r="21" spans="1:4" s="37" customFormat="1" ht="56.25">
      <c r="A21" s="87" t="s">
        <v>170</v>
      </c>
      <c r="B21" s="274">
        <f>B25+B23</f>
        <v>2880.1000000000004</v>
      </c>
      <c r="C21" s="274">
        <f>C25+C23</f>
        <v>10880.1</v>
      </c>
      <c r="D21" s="635">
        <f t="shared" si="0"/>
        <v>3.777681330509357</v>
      </c>
    </row>
    <row r="22" spans="1:4" s="37" customFormat="1" ht="18.75" hidden="1">
      <c r="A22" s="97" t="s">
        <v>92</v>
      </c>
      <c r="B22" s="267">
        <f>B17</f>
        <v>0</v>
      </c>
      <c r="C22" s="267">
        <f>C17</f>
        <v>0</v>
      </c>
      <c r="D22" s="635" t="e">
        <f t="shared" si="0"/>
        <v>#DIV/0!</v>
      </c>
    </row>
    <row r="23" spans="1:4" ht="18.75">
      <c r="A23" s="95" t="s">
        <v>59</v>
      </c>
      <c r="B23" s="90">
        <f>B13+B19</f>
        <v>15000</v>
      </c>
      <c r="C23" s="90">
        <f>C13+C19</f>
        <v>15000</v>
      </c>
      <c r="D23" s="635">
        <f t="shared" si="0"/>
        <v>1</v>
      </c>
    </row>
    <row r="24" spans="1:4" ht="56.25">
      <c r="A24" s="95" t="s">
        <v>61</v>
      </c>
      <c r="B24" s="90"/>
      <c r="C24" s="90"/>
      <c r="D24" s="635">
        <v>0</v>
      </c>
    </row>
    <row r="25" spans="1:4" ht="37.5">
      <c r="A25" s="97" t="s">
        <v>60</v>
      </c>
      <c r="B25" s="188">
        <f>B15+B20</f>
        <v>-12119.9</v>
      </c>
      <c r="C25" s="188">
        <f>C15+C20</f>
        <v>-4119.9</v>
      </c>
      <c r="D25" s="635">
        <f t="shared" si="0"/>
        <v>0.33992854726524147</v>
      </c>
    </row>
    <row r="26" spans="1:4" ht="56.25">
      <c r="A26" s="97" t="s">
        <v>61</v>
      </c>
      <c r="B26" s="188"/>
      <c r="C26" s="188"/>
      <c r="D26" s="635">
        <v>0</v>
      </c>
    </row>
    <row r="27" spans="1:2" ht="12.75">
      <c r="A27" s="91"/>
      <c r="B27" s="91"/>
    </row>
    <row r="28" spans="1:2" s="85" customFormat="1" ht="19.5" customHeight="1">
      <c r="A28" s="822"/>
      <c r="B28" s="823"/>
    </row>
    <row r="37" ht="15.75">
      <c r="A37" s="92"/>
    </row>
    <row r="38" ht="15.75">
      <c r="A38" s="92"/>
    </row>
    <row r="39" ht="15.75">
      <c r="A39" s="92"/>
    </row>
    <row r="40" ht="15.75">
      <c r="A40" s="92"/>
    </row>
    <row r="41" ht="15.75">
      <c r="A41" s="92"/>
    </row>
    <row r="42" ht="15.75">
      <c r="A42" s="92"/>
    </row>
  </sheetData>
  <sheetProtection/>
  <mergeCells count="2">
    <mergeCell ref="A7:B7"/>
    <mergeCell ref="A28:B28"/>
  </mergeCells>
  <printOptions/>
  <pageMargins left="0.75" right="0.75" top="0.22" bottom="1" header="0.5" footer="0.5"/>
  <pageSetup fitToHeight="1" fitToWidth="1"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5"/>
  </sheetPr>
  <dimension ref="B2:H23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28125" style="28" customWidth="1"/>
    <col min="2" max="7" width="9.140625" style="28" customWidth="1"/>
    <col min="8" max="8" width="17.00390625" style="28" customWidth="1"/>
    <col min="9" max="16384" width="9.140625" style="28" customWidth="1"/>
  </cols>
  <sheetData>
    <row r="2" ht="15.75">
      <c r="F2" s="100" t="s">
        <v>1072</v>
      </c>
    </row>
    <row r="3" ht="15.75">
      <c r="F3" s="100" t="s">
        <v>505</v>
      </c>
    </row>
    <row r="4" ht="15.75">
      <c r="F4" s="100" t="s">
        <v>500</v>
      </c>
    </row>
    <row r="5" ht="15.75">
      <c r="F5" s="100" t="s">
        <v>501</v>
      </c>
    </row>
    <row r="10" spans="2:8" ht="15.75">
      <c r="B10" s="825" t="s">
        <v>1076</v>
      </c>
      <c r="C10" s="825"/>
      <c r="D10" s="825"/>
      <c r="E10" s="825"/>
      <c r="F10" s="825"/>
      <c r="G10" s="825"/>
      <c r="H10" s="825"/>
    </row>
    <row r="11" spans="2:8" ht="15.75">
      <c r="B11" s="825"/>
      <c r="C11" s="825"/>
      <c r="D11" s="825"/>
      <c r="E11" s="825"/>
      <c r="F11" s="825"/>
      <c r="G11" s="825"/>
      <c r="H11" s="825"/>
    </row>
    <row r="13" spans="2:8" ht="15.75">
      <c r="B13" s="828" t="s">
        <v>455</v>
      </c>
      <c r="C13" s="829"/>
      <c r="D13" s="829"/>
      <c r="E13" s="829"/>
      <c r="F13" s="829"/>
      <c r="G13" s="829"/>
      <c r="H13" s="830"/>
    </row>
    <row r="14" spans="2:8" ht="15.75">
      <c r="B14" s="831"/>
      <c r="C14" s="832"/>
      <c r="D14" s="832"/>
      <c r="E14" s="832"/>
      <c r="F14" s="832"/>
      <c r="G14" s="832"/>
      <c r="H14" s="833"/>
    </row>
    <row r="15" spans="2:8" ht="15.75">
      <c r="B15" s="834"/>
      <c r="C15" s="834"/>
      <c r="D15" s="834"/>
      <c r="E15" s="834"/>
      <c r="F15" s="834"/>
      <c r="G15" s="834"/>
      <c r="H15" s="834"/>
    </row>
    <row r="16" spans="2:8" ht="15.75">
      <c r="B16" s="826" t="s">
        <v>456</v>
      </c>
      <c r="C16" s="826"/>
      <c r="D16" s="826"/>
      <c r="E16" s="826"/>
      <c r="F16" s="826"/>
      <c r="G16" s="826"/>
      <c r="H16" s="826"/>
    </row>
    <row r="17" spans="2:8" ht="15.75">
      <c r="B17" s="824" t="s">
        <v>76</v>
      </c>
      <c r="C17" s="824"/>
      <c r="D17" s="824"/>
      <c r="E17" s="824"/>
      <c r="F17" s="824"/>
      <c r="G17" s="824"/>
      <c r="H17" s="824"/>
    </row>
    <row r="18" spans="2:8" ht="15.75" hidden="1">
      <c r="B18" s="824" t="s">
        <v>457</v>
      </c>
      <c r="C18" s="824"/>
      <c r="D18" s="824"/>
      <c r="E18" s="824"/>
      <c r="F18" s="824"/>
      <c r="G18" s="824"/>
      <c r="H18" s="824"/>
    </row>
    <row r="19" spans="2:8" ht="15.75">
      <c r="B19" s="824"/>
      <c r="C19" s="824"/>
      <c r="D19" s="824"/>
      <c r="E19" s="824"/>
      <c r="F19" s="824"/>
      <c r="G19" s="824"/>
      <c r="H19" s="824"/>
    </row>
    <row r="20" spans="2:8" ht="15.75">
      <c r="B20" s="826" t="s">
        <v>458</v>
      </c>
      <c r="C20" s="826"/>
      <c r="D20" s="826"/>
      <c r="E20" s="826"/>
      <c r="F20" s="826"/>
      <c r="G20" s="826"/>
      <c r="H20" s="826"/>
    </row>
    <row r="21" spans="2:8" ht="15.75">
      <c r="B21" s="827" t="s">
        <v>77</v>
      </c>
      <c r="C21" s="827"/>
      <c r="D21" s="827"/>
      <c r="E21" s="827"/>
      <c r="F21" s="827"/>
      <c r="G21" s="827"/>
      <c r="H21" s="827"/>
    </row>
    <row r="22" spans="2:8" ht="15.75">
      <c r="B22" s="824" t="s">
        <v>78</v>
      </c>
      <c r="C22" s="824"/>
      <c r="D22" s="824"/>
      <c r="E22" s="824"/>
      <c r="F22" s="824"/>
      <c r="G22" s="824"/>
      <c r="H22" s="824"/>
    </row>
    <row r="23" spans="2:8" ht="15.75">
      <c r="B23" s="824" t="s">
        <v>93</v>
      </c>
      <c r="C23" s="824"/>
      <c r="D23" s="824"/>
      <c r="E23" s="824"/>
      <c r="F23" s="824"/>
      <c r="G23" s="824"/>
      <c r="H23" s="824"/>
    </row>
  </sheetData>
  <sheetProtection/>
  <mergeCells count="11">
    <mergeCell ref="B17:H17"/>
    <mergeCell ref="B23:H23"/>
    <mergeCell ref="B22:H22"/>
    <mergeCell ref="B10:H11"/>
    <mergeCell ref="B18:H18"/>
    <mergeCell ref="B19:H19"/>
    <mergeCell ref="B20:H20"/>
    <mergeCell ref="B21:H21"/>
    <mergeCell ref="B13:H14"/>
    <mergeCell ref="B15:H15"/>
    <mergeCell ref="B16:H16"/>
  </mergeCells>
  <printOptions/>
  <pageMargins left="0.75" right="0.75" top="0.48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E33"/>
  <sheetViews>
    <sheetView view="pageBreakPreview" zoomScale="76" zoomScaleNormal="76" zoomScaleSheetLayoutView="76" zoomScalePageLayoutView="0" workbookViewId="0" topLeftCell="A17">
      <selection activeCell="B23" sqref="B23"/>
    </sheetView>
  </sheetViews>
  <sheetFormatPr defaultColWidth="9.140625" defaultRowHeight="12.75"/>
  <cols>
    <col min="1" max="1" width="8.57421875" style="314" customWidth="1"/>
    <col min="2" max="2" width="51.140625" style="192" customWidth="1"/>
    <col min="3" max="3" width="18.57421875" style="192" customWidth="1"/>
    <col min="4" max="4" width="18.7109375" style="192" customWidth="1"/>
    <col min="5" max="5" width="13.00390625" style="192" customWidth="1"/>
    <col min="6" max="6" width="19.00390625" style="295" customWidth="1"/>
    <col min="7" max="7" width="21.00390625" style="295" customWidth="1"/>
    <col min="8" max="8" width="9.421875" style="295" bestFit="1" customWidth="1"/>
    <col min="9" max="10" width="9.28125" style="295" bestFit="1" customWidth="1"/>
    <col min="11" max="16384" width="9.140625" style="295" customWidth="1"/>
  </cols>
  <sheetData>
    <row r="1" ht="12.75">
      <c r="D1" s="312" t="s">
        <v>1073</v>
      </c>
    </row>
    <row r="2" ht="12.75">
      <c r="D2" s="312" t="s">
        <v>505</v>
      </c>
    </row>
    <row r="3" ht="12.75">
      <c r="D3" s="312" t="s">
        <v>500</v>
      </c>
    </row>
    <row r="4" ht="12.75">
      <c r="D4" s="312" t="s">
        <v>501</v>
      </c>
    </row>
    <row r="8" spans="1:5" ht="56.25" customHeight="1">
      <c r="A8" s="835" t="s">
        <v>1103</v>
      </c>
      <c r="B8" s="836"/>
      <c r="C8" s="836"/>
      <c r="D8" s="836"/>
      <c r="E8" s="837"/>
    </row>
    <row r="9" spans="1:5" ht="25.5">
      <c r="A9" s="639" t="s">
        <v>1078</v>
      </c>
      <c r="B9" s="639" t="s">
        <v>1079</v>
      </c>
      <c r="C9" s="639" t="s">
        <v>1080</v>
      </c>
      <c r="D9" s="639" t="s">
        <v>1019</v>
      </c>
      <c r="E9" s="639" t="s">
        <v>1081</v>
      </c>
    </row>
    <row r="10" spans="1:5" ht="25.5">
      <c r="A10" s="640">
        <v>1</v>
      </c>
      <c r="B10" s="641" t="s">
        <v>1082</v>
      </c>
      <c r="C10" s="642">
        <v>17393.98</v>
      </c>
      <c r="D10" s="642">
        <v>17393.98</v>
      </c>
      <c r="E10" s="643">
        <f>D10/C10</f>
        <v>1</v>
      </c>
    </row>
    <row r="11" spans="1:5" ht="25.5">
      <c r="A11" s="641">
        <v>2</v>
      </c>
      <c r="B11" s="640" t="s">
        <v>1083</v>
      </c>
      <c r="C11" s="644">
        <f>43225.84+4029.43</f>
        <v>47255.27</v>
      </c>
      <c r="D11" s="644">
        <v>31371.14</v>
      </c>
      <c r="E11" s="643">
        <f aca="true" t="shared" si="0" ref="E11:E29">D11/C11</f>
        <v>0.6638654270730017</v>
      </c>
    </row>
    <row r="12" spans="1:5" ht="25.5">
      <c r="A12" s="510">
        <v>3</v>
      </c>
      <c r="B12" s="510" t="s">
        <v>1084</v>
      </c>
      <c r="C12" s="645">
        <v>250.77</v>
      </c>
      <c r="D12" s="645">
        <v>250.77</v>
      </c>
      <c r="E12" s="643">
        <f t="shared" si="0"/>
        <v>1</v>
      </c>
    </row>
    <row r="13" spans="1:5" ht="25.5">
      <c r="A13" s="641">
        <v>4</v>
      </c>
      <c r="B13" s="641" t="s">
        <v>1085</v>
      </c>
      <c r="C13" s="642">
        <f>53658.66-562.25-1741.24+38272.27+2840.45+2307.88+2870.2-391.08</f>
        <v>97254.89</v>
      </c>
      <c r="D13" s="642">
        <f>51355.17+38272.27+2840.45+2307.88+2846.84-330.94</f>
        <v>97291.67</v>
      </c>
      <c r="E13" s="643">
        <f t="shared" si="0"/>
        <v>1.0003781814981232</v>
      </c>
    </row>
    <row r="14" spans="1:5" ht="63.75">
      <c r="A14" s="641">
        <v>5</v>
      </c>
      <c r="B14" s="641" t="s">
        <v>1086</v>
      </c>
      <c r="C14" s="642">
        <v>198691.02</v>
      </c>
      <c r="D14" s="642">
        <v>134982.75</v>
      </c>
      <c r="E14" s="643">
        <f t="shared" si="0"/>
        <v>0.6793600938784249</v>
      </c>
    </row>
    <row r="15" spans="1:5" ht="38.25">
      <c r="A15" s="641">
        <v>6</v>
      </c>
      <c r="B15" s="641" t="s">
        <v>1087</v>
      </c>
      <c r="C15" s="642">
        <v>0</v>
      </c>
      <c r="D15" s="642">
        <v>0</v>
      </c>
      <c r="E15" s="643">
        <v>0</v>
      </c>
    </row>
    <row r="16" spans="1:5" ht="25.5">
      <c r="A16" s="641">
        <v>7</v>
      </c>
      <c r="B16" s="641" t="s">
        <v>1088</v>
      </c>
      <c r="C16" s="642">
        <v>1000</v>
      </c>
      <c r="D16" s="642">
        <v>1000</v>
      </c>
      <c r="E16" s="643">
        <f t="shared" si="0"/>
        <v>1</v>
      </c>
    </row>
    <row r="17" spans="1:5" ht="25.5">
      <c r="A17" s="641">
        <v>8</v>
      </c>
      <c r="B17" s="641" t="s">
        <v>1089</v>
      </c>
      <c r="C17" s="642">
        <v>400</v>
      </c>
      <c r="D17" s="642">
        <v>400</v>
      </c>
      <c r="E17" s="643">
        <f t="shared" si="0"/>
        <v>1</v>
      </c>
    </row>
    <row r="18" spans="1:5" ht="12.75">
      <c r="A18" s="641">
        <v>9</v>
      </c>
      <c r="B18" s="641" t="s">
        <v>1090</v>
      </c>
      <c r="C18" s="642">
        <v>1137.41</v>
      </c>
      <c r="D18" s="642">
        <v>1137.41</v>
      </c>
      <c r="E18" s="643">
        <f t="shared" si="0"/>
        <v>1</v>
      </c>
    </row>
    <row r="19" spans="1:5" ht="25.5">
      <c r="A19" s="641">
        <v>10</v>
      </c>
      <c r="B19" s="641" t="s">
        <v>1091</v>
      </c>
      <c r="C19" s="646">
        <v>562.25</v>
      </c>
      <c r="D19" s="646">
        <v>562.25</v>
      </c>
      <c r="E19" s="643">
        <f t="shared" si="0"/>
        <v>1</v>
      </c>
    </row>
    <row r="20" spans="1:5" ht="25.5">
      <c r="A20" s="641">
        <v>11</v>
      </c>
      <c r="B20" s="641" t="s">
        <v>1092</v>
      </c>
      <c r="C20" s="647">
        <f>25900.92+13939.65</f>
        <v>39840.57</v>
      </c>
      <c r="D20" s="646">
        <f>25174.33+13939.65</f>
        <v>39113.98</v>
      </c>
      <c r="E20" s="643">
        <f t="shared" si="0"/>
        <v>0.9817625601240144</v>
      </c>
    </row>
    <row r="21" spans="1:5" ht="38.25">
      <c r="A21" s="641">
        <v>12</v>
      </c>
      <c r="B21" s="641" t="s">
        <v>1093</v>
      </c>
      <c r="C21" s="646">
        <v>1741.24</v>
      </c>
      <c r="D21" s="646">
        <v>1741.24</v>
      </c>
      <c r="E21" s="643">
        <f t="shared" si="0"/>
        <v>1</v>
      </c>
    </row>
    <row r="22" spans="1:5" ht="38.25">
      <c r="A22" s="641">
        <v>13</v>
      </c>
      <c r="B22" s="641" t="s">
        <v>1094</v>
      </c>
      <c r="C22" s="646">
        <f>20467.913+2891.43</f>
        <v>23359.343</v>
      </c>
      <c r="D22" s="646">
        <v>20467.913</v>
      </c>
      <c r="E22" s="643">
        <f t="shared" si="0"/>
        <v>0.8762195494967474</v>
      </c>
    </row>
    <row r="23" spans="1:5" ht="12.75">
      <c r="A23" s="641">
        <v>14</v>
      </c>
      <c r="B23" s="641" t="s">
        <v>1095</v>
      </c>
      <c r="C23" s="646">
        <v>1233.1</v>
      </c>
      <c r="D23" s="646">
        <v>1233.1</v>
      </c>
      <c r="E23" s="643">
        <f t="shared" si="0"/>
        <v>1</v>
      </c>
    </row>
    <row r="24" spans="1:5" ht="38.25">
      <c r="A24" s="641">
        <v>15</v>
      </c>
      <c r="B24" s="641" t="s">
        <v>1096</v>
      </c>
      <c r="C24" s="642">
        <f>18914.96</f>
        <v>18914.96</v>
      </c>
      <c r="D24" s="646">
        <v>18914.96</v>
      </c>
      <c r="E24" s="643">
        <f t="shared" si="0"/>
        <v>1</v>
      </c>
    </row>
    <row r="25" spans="1:5" ht="38.25">
      <c r="A25" s="641">
        <v>16</v>
      </c>
      <c r="B25" s="641" t="s">
        <v>1097</v>
      </c>
      <c r="C25" s="642">
        <v>30011.16</v>
      </c>
      <c r="D25" s="646">
        <v>20612.57</v>
      </c>
      <c r="E25" s="643">
        <f t="shared" si="0"/>
        <v>0.6868301658449724</v>
      </c>
    </row>
    <row r="26" spans="1:5" ht="25.5">
      <c r="A26" s="641">
        <v>17</v>
      </c>
      <c r="B26" s="641" t="s">
        <v>1098</v>
      </c>
      <c r="C26" s="642">
        <f>509414.48+9413.9-13939.65</f>
        <v>504888.73</v>
      </c>
      <c r="D26" s="646">
        <f>501100.16+9413.9-13939.65</f>
        <v>496574.41</v>
      </c>
      <c r="E26" s="643">
        <f t="shared" si="0"/>
        <v>0.9835323715781891</v>
      </c>
    </row>
    <row r="27" spans="1:5" ht="51">
      <c r="A27" s="641">
        <v>18</v>
      </c>
      <c r="B27" s="641" t="s">
        <v>1099</v>
      </c>
      <c r="C27" s="642">
        <v>0</v>
      </c>
      <c r="D27" s="646">
        <v>0</v>
      </c>
      <c r="E27" s="643">
        <v>0</v>
      </c>
    </row>
    <row r="28" spans="1:5" ht="25.5">
      <c r="A28" s="641">
        <v>19</v>
      </c>
      <c r="B28" s="641" t="s">
        <v>1100</v>
      </c>
      <c r="C28" s="642">
        <v>106635.52</v>
      </c>
      <c r="D28" s="646">
        <v>38681.55</v>
      </c>
      <c r="E28" s="643">
        <f t="shared" si="0"/>
        <v>0.3627454529222533</v>
      </c>
    </row>
    <row r="29" spans="1:5" ht="38.25">
      <c r="A29" s="641">
        <v>20</v>
      </c>
      <c r="B29" s="641" t="s">
        <v>1101</v>
      </c>
      <c r="C29" s="642">
        <v>4255</v>
      </c>
      <c r="D29" s="646">
        <v>4173.51</v>
      </c>
      <c r="E29" s="643">
        <f t="shared" si="0"/>
        <v>0.9808484136310224</v>
      </c>
    </row>
    <row r="30" spans="1:5" ht="12.75">
      <c r="A30" s="639"/>
      <c r="B30" s="639" t="s">
        <v>1102</v>
      </c>
      <c r="C30" s="648">
        <f>SUM(C10:C29)</f>
        <v>1094825.213</v>
      </c>
      <c r="D30" s="649">
        <f>SUM(D10:D29)</f>
        <v>925903.203</v>
      </c>
      <c r="E30" s="650">
        <f>D30/C30</f>
        <v>0.8457086957861282</v>
      </c>
    </row>
    <row r="33" spans="3:4" ht="12.75">
      <c r="C33" s="638"/>
      <c r="D33" s="638"/>
    </row>
  </sheetData>
  <sheetProtection/>
  <mergeCells count="1">
    <mergeCell ref="A8:E8"/>
  </mergeCells>
  <printOptions/>
  <pageMargins left="0.4330708661417323" right="0.35433070866141736" top="0.2755905511811024" bottom="0.2362204724409449" header="0.15748031496062992" footer="0.2362204724409449"/>
  <pageSetup fitToHeight="50"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U12"/>
  <sheetViews>
    <sheetView zoomScale="75" zoomScaleNormal="75" zoomScalePageLayoutView="0" workbookViewId="0" topLeftCell="A7">
      <selection activeCell="J12" sqref="J12"/>
    </sheetView>
  </sheetViews>
  <sheetFormatPr defaultColWidth="9.140625" defaultRowHeight="12.75"/>
  <cols>
    <col min="1" max="1" width="4.8515625" style="101" customWidth="1"/>
    <col min="2" max="2" width="37.7109375" style="101" customWidth="1"/>
    <col min="3" max="3" width="48.57421875" style="101" customWidth="1"/>
    <col min="4" max="4" width="16.28125" style="101" customWidth="1"/>
    <col min="5" max="5" width="13.57421875" style="101" hidden="1" customWidth="1"/>
    <col min="6" max="6" width="16.140625" style="101" hidden="1" customWidth="1"/>
    <col min="7" max="7" width="14.421875" style="101" hidden="1" customWidth="1"/>
    <col min="8" max="8" width="14.28125" style="101" hidden="1" customWidth="1"/>
    <col min="9" max="9" width="15.00390625" style="101" customWidth="1"/>
    <col min="10" max="10" width="14.8515625" style="101" customWidth="1"/>
    <col min="11" max="16384" width="9.140625" style="101" customWidth="1"/>
  </cols>
  <sheetData>
    <row r="1" ht="15">
      <c r="D1" s="24" t="s">
        <v>1074</v>
      </c>
    </row>
    <row r="2" ht="15">
      <c r="D2" s="24" t="s">
        <v>356</v>
      </c>
    </row>
    <row r="3" ht="15">
      <c r="D3" s="24" t="s">
        <v>500</v>
      </c>
    </row>
    <row r="4" ht="15">
      <c r="D4" s="24" t="s">
        <v>501</v>
      </c>
    </row>
    <row r="7" spans="1:21" s="104" customFormat="1" ht="40.5" customHeight="1">
      <c r="A7" s="102"/>
      <c r="B7" s="838" t="s">
        <v>922</v>
      </c>
      <c r="C7" s="838"/>
      <c r="D7" s="83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3"/>
      <c r="T7" s="103"/>
      <c r="U7" s="103"/>
    </row>
    <row r="8" spans="1:21" s="104" customFormat="1" ht="15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103"/>
      <c r="T8" s="103"/>
      <c r="U8" s="103"/>
    </row>
    <row r="9" spans="1:21" s="104" customFormat="1" ht="15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3"/>
      <c r="T9" s="103"/>
      <c r="U9" s="103"/>
    </row>
    <row r="10" spans="1:21" s="104" customFormat="1" ht="85.5" customHeight="1">
      <c r="A10" s="105" t="s">
        <v>491</v>
      </c>
      <c r="B10" s="106" t="s">
        <v>498</v>
      </c>
      <c r="C10" s="106" t="s">
        <v>374</v>
      </c>
      <c r="D10" s="106" t="s">
        <v>1017</v>
      </c>
      <c r="E10" s="106">
        <v>2013</v>
      </c>
      <c r="F10" s="106">
        <v>2014</v>
      </c>
      <c r="G10" s="106">
        <v>2016</v>
      </c>
      <c r="H10" s="106">
        <v>2017</v>
      </c>
      <c r="I10" s="106" t="s">
        <v>1077</v>
      </c>
      <c r="J10" s="106" t="s">
        <v>1018</v>
      </c>
      <c r="K10" s="28"/>
      <c r="L10" s="28"/>
      <c r="M10" s="28"/>
      <c r="N10" s="28"/>
      <c r="O10" s="28"/>
      <c r="P10" s="28"/>
      <c r="Q10" s="28"/>
      <c r="R10" s="28"/>
      <c r="S10" s="103"/>
      <c r="T10" s="103"/>
      <c r="U10" s="103"/>
    </row>
    <row r="11" spans="1:10" s="108" customFormat="1" ht="203.25" customHeight="1">
      <c r="A11" s="30">
        <v>1</v>
      </c>
      <c r="B11" s="30" t="s">
        <v>94</v>
      </c>
      <c r="C11" s="30" t="s">
        <v>263</v>
      </c>
      <c r="D11" s="275">
        <v>9413.9</v>
      </c>
      <c r="E11" s="275">
        <v>6912.9</v>
      </c>
      <c r="F11" s="275">
        <v>6912.9</v>
      </c>
      <c r="G11" s="275">
        <v>6912.9</v>
      </c>
      <c r="H11" s="275">
        <v>6912.9</v>
      </c>
      <c r="I11" s="275">
        <v>9413.9</v>
      </c>
      <c r="J11" s="636">
        <f>I11/D11</f>
        <v>1</v>
      </c>
    </row>
    <row r="12" spans="1:10" ht="15">
      <c r="A12" s="107"/>
      <c r="B12" s="107" t="s">
        <v>207</v>
      </c>
      <c r="C12" s="107"/>
      <c r="D12" s="109">
        <f aca="true" t="shared" si="0" ref="D12:J12">SUM(D11:D11)</f>
        <v>9413.9</v>
      </c>
      <c r="E12" s="109">
        <f t="shared" si="0"/>
        <v>6912.9</v>
      </c>
      <c r="F12" s="109">
        <f t="shared" si="0"/>
        <v>6912.9</v>
      </c>
      <c r="G12" s="109">
        <f t="shared" si="0"/>
        <v>6912.9</v>
      </c>
      <c r="H12" s="109">
        <f t="shared" si="0"/>
        <v>6912.9</v>
      </c>
      <c r="I12" s="109">
        <f t="shared" si="0"/>
        <v>9413.9</v>
      </c>
      <c r="J12" s="637">
        <f t="shared" si="0"/>
        <v>1</v>
      </c>
    </row>
  </sheetData>
  <sheetProtection/>
  <mergeCells count="1">
    <mergeCell ref="B7:D7"/>
  </mergeCells>
  <printOptions/>
  <pageMargins left="0.75" right="0.75" top="0.48" bottom="1" header="0.5" footer="0.5"/>
  <pageSetup fitToHeight="1" fitToWidth="1" horizontalDpi="600" verticalDpi="600" orientation="portrait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53"/>
  <sheetViews>
    <sheetView zoomScale="75" zoomScaleNormal="75" zoomScaleSheetLayoutView="75" zoomScalePageLayoutView="0" workbookViewId="0" topLeftCell="B1">
      <selection activeCell="L3" sqref="L3"/>
    </sheetView>
  </sheetViews>
  <sheetFormatPr defaultColWidth="9.140625" defaultRowHeight="12.75"/>
  <cols>
    <col min="1" max="1" width="10.00390625" style="21" customWidth="1"/>
    <col min="2" max="2" width="20.8515625" style="21" customWidth="1"/>
    <col min="3" max="3" width="18.8515625" style="21" customWidth="1"/>
    <col min="4" max="4" width="14.140625" style="21" customWidth="1"/>
    <col min="5" max="5" width="9.140625" style="21" customWidth="1"/>
    <col min="6" max="6" width="16.140625" style="21" customWidth="1"/>
    <col min="7" max="7" width="13.140625" style="21" customWidth="1"/>
    <col min="8" max="8" width="9.140625" style="21" customWidth="1"/>
    <col min="9" max="9" width="34.7109375" style="21" customWidth="1"/>
    <col min="10" max="10" width="17.28125" style="21" customWidth="1"/>
    <col min="11" max="11" width="10.28125" style="21" customWidth="1"/>
    <col min="12" max="12" width="13.28125" style="21" customWidth="1"/>
    <col min="13" max="13" width="10.00390625" style="21" customWidth="1"/>
    <col min="14" max="14" width="16.140625" style="21" customWidth="1"/>
    <col min="15" max="16384" width="9.140625" style="21" customWidth="1"/>
  </cols>
  <sheetData>
    <row r="2" ht="15">
      <c r="L2" s="24" t="s">
        <v>1075</v>
      </c>
    </row>
    <row r="3" ht="15">
      <c r="L3" s="24" t="s">
        <v>356</v>
      </c>
    </row>
    <row r="4" ht="15">
      <c r="L4" s="24" t="s">
        <v>500</v>
      </c>
    </row>
    <row r="5" ht="15">
      <c r="L5" s="24" t="s">
        <v>501</v>
      </c>
    </row>
    <row r="6" spans="1:9" ht="15.75">
      <c r="A6" s="28"/>
      <c r="B6" s="28"/>
      <c r="C6" s="28"/>
      <c r="D6" s="28"/>
      <c r="E6" s="191" t="s">
        <v>360</v>
      </c>
      <c r="F6" s="28"/>
      <c r="G6" s="28"/>
      <c r="H6" s="28"/>
      <c r="I6" s="28"/>
    </row>
    <row r="7" spans="1:9" ht="15.75">
      <c r="A7" s="28" t="s">
        <v>361</v>
      </c>
      <c r="B7" s="28"/>
      <c r="C7" s="28"/>
      <c r="D7" s="28"/>
      <c r="E7" s="28"/>
      <c r="F7" s="28"/>
      <c r="G7" s="28"/>
      <c r="H7" s="28"/>
      <c r="I7" s="28"/>
    </row>
    <row r="8" spans="1:9" ht="15.75">
      <c r="A8" s="28" t="s">
        <v>264</v>
      </c>
      <c r="B8" s="28"/>
      <c r="C8" s="28"/>
      <c r="D8" s="28"/>
      <c r="E8" s="28"/>
      <c r="F8" s="28"/>
      <c r="G8" s="28"/>
      <c r="H8" s="28"/>
      <c r="I8" s="28"/>
    </row>
    <row r="9" spans="1:17" s="193" customFormat="1" ht="15.75">
      <c r="A9" s="198" t="s">
        <v>244</v>
      </c>
      <c r="B9" s="198"/>
      <c r="C9" s="198"/>
      <c r="D9" s="198"/>
      <c r="E9" s="198"/>
      <c r="F9" s="198"/>
      <c r="G9" s="198"/>
      <c r="H9" s="198"/>
      <c r="I9" s="198"/>
      <c r="J9" s="192"/>
      <c r="K9" s="192"/>
      <c r="L9" s="192"/>
      <c r="M9" s="192"/>
      <c r="N9" s="192"/>
      <c r="O9" s="192"/>
      <c r="P9" s="192"/>
      <c r="Q9" s="192"/>
    </row>
    <row r="10" spans="1:17" s="193" customFormat="1" ht="15.75">
      <c r="A10" s="198" t="s">
        <v>399</v>
      </c>
      <c r="B10" s="198"/>
      <c r="C10" s="198"/>
      <c r="D10" s="198"/>
      <c r="E10" s="198"/>
      <c r="F10" s="198"/>
      <c r="G10" s="198"/>
      <c r="H10" s="198"/>
      <c r="I10" s="198"/>
      <c r="J10" s="192"/>
      <c r="K10" s="192"/>
      <c r="L10" s="192"/>
      <c r="M10" s="192"/>
      <c r="N10" s="192"/>
      <c r="O10" s="192"/>
      <c r="P10" s="192"/>
      <c r="Q10" s="192"/>
    </row>
    <row r="11" spans="1:17" s="193" customFormat="1" ht="15.75">
      <c r="A11" s="198" t="s">
        <v>400</v>
      </c>
      <c r="B11" s="198"/>
      <c r="C11" s="198"/>
      <c r="D11" s="198"/>
      <c r="E11" s="198"/>
      <c r="F11" s="198"/>
      <c r="G11" s="198"/>
      <c r="H11" s="198"/>
      <c r="I11" s="198"/>
      <c r="J11" s="192"/>
      <c r="K11" s="192"/>
      <c r="L11" s="192"/>
      <c r="M11" s="192"/>
      <c r="N11" s="192"/>
      <c r="O11" s="192"/>
      <c r="P11" s="192"/>
      <c r="Q11" s="192"/>
    </row>
    <row r="12" spans="1:17" ht="12.75">
      <c r="A12" s="194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</row>
    <row r="13" spans="1:17" s="197" customFormat="1" ht="91.5" customHeight="1">
      <c r="A13" s="842" t="s">
        <v>401</v>
      </c>
      <c r="B13" s="842" t="s">
        <v>402</v>
      </c>
      <c r="C13" s="842" t="s">
        <v>403</v>
      </c>
      <c r="D13" s="844" t="s">
        <v>404</v>
      </c>
      <c r="E13" s="844"/>
      <c r="F13" s="842" t="s">
        <v>406</v>
      </c>
      <c r="G13" s="842" t="s">
        <v>407</v>
      </c>
      <c r="H13" s="842" t="s">
        <v>408</v>
      </c>
      <c r="I13" s="842" t="s">
        <v>409</v>
      </c>
      <c r="J13" s="842" t="s">
        <v>410</v>
      </c>
      <c r="K13" s="842" t="s">
        <v>411</v>
      </c>
      <c r="L13" s="842" t="s">
        <v>412</v>
      </c>
      <c r="M13" s="842" t="s">
        <v>413</v>
      </c>
      <c r="N13" s="842" t="s">
        <v>414</v>
      </c>
      <c r="O13" s="196"/>
      <c r="P13" s="196"/>
      <c r="Q13" s="196"/>
    </row>
    <row r="14" spans="1:17" s="197" customFormat="1" ht="48.75" customHeight="1">
      <c r="A14" s="843"/>
      <c r="B14" s="843"/>
      <c r="C14" s="843"/>
      <c r="D14" s="195" t="s">
        <v>415</v>
      </c>
      <c r="E14" s="195" t="s">
        <v>405</v>
      </c>
      <c r="F14" s="843"/>
      <c r="G14" s="843"/>
      <c r="H14" s="843"/>
      <c r="I14" s="843"/>
      <c r="J14" s="843"/>
      <c r="K14" s="843"/>
      <c r="L14" s="843"/>
      <c r="M14" s="843"/>
      <c r="N14" s="843"/>
      <c r="O14" s="196"/>
      <c r="P14" s="196"/>
      <c r="Q14" s="196"/>
    </row>
    <row r="15" spans="1:17" s="197" customFormat="1" ht="15.75">
      <c r="A15" s="195">
        <v>1</v>
      </c>
      <c r="B15" s="195">
        <v>2</v>
      </c>
      <c r="C15" s="195">
        <v>3</v>
      </c>
      <c r="D15" s="195">
        <v>4</v>
      </c>
      <c r="E15" s="195">
        <v>5</v>
      </c>
      <c r="F15" s="195">
        <v>6</v>
      </c>
      <c r="G15" s="195">
        <v>7</v>
      </c>
      <c r="H15" s="195">
        <v>8</v>
      </c>
      <c r="I15" s="195">
        <v>9</v>
      </c>
      <c r="J15" s="195">
        <v>10</v>
      </c>
      <c r="K15" s="195">
        <v>11</v>
      </c>
      <c r="L15" s="195">
        <v>12</v>
      </c>
      <c r="M15" s="195">
        <v>13</v>
      </c>
      <c r="N15" s="195">
        <v>14</v>
      </c>
      <c r="O15" s="196"/>
      <c r="P15" s="196"/>
      <c r="Q15" s="196"/>
    </row>
    <row r="16" spans="1:17" s="197" customFormat="1" ht="15.75">
      <c r="A16" s="839" t="s">
        <v>416</v>
      </c>
      <c r="B16" s="840"/>
      <c r="C16" s="840"/>
      <c r="D16" s="840"/>
      <c r="E16" s="840"/>
      <c r="F16" s="840"/>
      <c r="G16" s="840"/>
      <c r="H16" s="840"/>
      <c r="I16" s="840"/>
      <c r="J16" s="840"/>
      <c r="K16" s="840"/>
      <c r="L16" s="840"/>
      <c r="M16" s="840"/>
      <c r="N16" s="841"/>
      <c r="O16" s="199"/>
      <c r="P16" s="199"/>
      <c r="Q16" s="199"/>
    </row>
    <row r="17" spans="1:17" s="197" customFormat="1" ht="131.25" customHeight="1">
      <c r="A17" s="195">
        <v>1</v>
      </c>
      <c r="B17" s="125" t="s">
        <v>265</v>
      </c>
      <c r="C17" s="200"/>
      <c r="D17" s="195" t="s">
        <v>266</v>
      </c>
      <c r="E17" s="195"/>
      <c r="F17" s="195" t="s">
        <v>267</v>
      </c>
      <c r="G17" s="195" t="s">
        <v>268</v>
      </c>
      <c r="H17" s="195"/>
      <c r="I17" s="195" t="s">
        <v>269</v>
      </c>
      <c r="J17" s="195"/>
      <c r="K17" s="195" t="s">
        <v>500</v>
      </c>
      <c r="L17" s="195" t="s">
        <v>500</v>
      </c>
      <c r="M17" s="195"/>
      <c r="N17" s="190" t="s">
        <v>270</v>
      </c>
      <c r="O17" s="196"/>
      <c r="P17" s="196"/>
      <c r="Q17" s="196"/>
    </row>
    <row r="18" spans="1:17" s="197" customFormat="1" ht="95.25" customHeight="1">
      <c r="A18" s="125">
        <v>2</v>
      </c>
      <c r="B18" s="125" t="s">
        <v>271</v>
      </c>
      <c r="C18" s="125"/>
      <c r="D18" s="125" t="s">
        <v>272</v>
      </c>
      <c r="E18" s="125"/>
      <c r="F18" s="195" t="s">
        <v>273</v>
      </c>
      <c r="G18" s="195" t="s">
        <v>274</v>
      </c>
      <c r="H18" s="125"/>
      <c r="I18" s="125" t="s">
        <v>275</v>
      </c>
      <c r="J18" s="125"/>
      <c r="K18" s="195" t="s">
        <v>500</v>
      </c>
      <c r="L18" s="195" t="s">
        <v>500</v>
      </c>
      <c r="M18" s="195"/>
      <c r="N18" s="190" t="s">
        <v>276</v>
      </c>
      <c r="O18" s="196"/>
      <c r="P18" s="196"/>
      <c r="Q18" s="196"/>
    </row>
    <row r="19" spans="1:17" s="197" customFormat="1" ht="108.75" customHeight="1">
      <c r="A19" s="125">
        <v>3</v>
      </c>
      <c r="B19" s="125" t="s">
        <v>277</v>
      </c>
      <c r="C19" s="125"/>
      <c r="D19" s="125" t="s">
        <v>278</v>
      </c>
      <c r="E19" s="125"/>
      <c r="F19" s="195" t="s">
        <v>279</v>
      </c>
      <c r="G19" s="195" t="s">
        <v>280</v>
      </c>
      <c r="H19" s="125"/>
      <c r="I19" s="125" t="s">
        <v>281</v>
      </c>
      <c r="J19" s="125"/>
      <c r="K19" s="195" t="s">
        <v>500</v>
      </c>
      <c r="L19" s="195" t="s">
        <v>500</v>
      </c>
      <c r="M19" s="195"/>
      <c r="N19" s="201" t="s">
        <v>282</v>
      </c>
      <c r="O19" s="196"/>
      <c r="P19" s="196"/>
      <c r="Q19" s="196"/>
    </row>
    <row r="20" spans="1:17" s="197" customFormat="1" ht="100.5" customHeight="1">
      <c r="A20" s="125">
        <v>4</v>
      </c>
      <c r="B20" s="125" t="s">
        <v>283</v>
      </c>
      <c r="C20" s="125"/>
      <c r="D20" s="125" t="s">
        <v>284</v>
      </c>
      <c r="E20" s="125"/>
      <c r="F20" s="195" t="s">
        <v>285</v>
      </c>
      <c r="G20" s="195" t="s">
        <v>286</v>
      </c>
      <c r="H20" s="125"/>
      <c r="I20" s="125" t="s">
        <v>287</v>
      </c>
      <c r="J20" s="125"/>
      <c r="K20" s="195" t="s">
        <v>500</v>
      </c>
      <c r="L20" s="195" t="s">
        <v>500</v>
      </c>
      <c r="M20" s="195"/>
      <c r="N20" s="190" t="s">
        <v>288</v>
      </c>
      <c r="O20" s="196"/>
      <c r="P20" s="196"/>
      <c r="Q20" s="196"/>
    </row>
    <row r="21" spans="1:17" s="197" customFormat="1" ht="148.5" customHeight="1">
      <c r="A21" s="195">
        <v>5</v>
      </c>
      <c r="B21" s="195" t="s">
        <v>289</v>
      </c>
      <c r="C21" s="195"/>
      <c r="D21" s="195" t="s">
        <v>290</v>
      </c>
      <c r="E21" s="195"/>
      <c r="F21" s="195" t="s">
        <v>291</v>
      </c>
      <c r="G21" s="195" t="s">
        <v>292</v>
      </c>
      <c r="H21" s="195"/>
      <c r="I21" s="195" t="s">
        <v>293</v>
      </c>
      <c r="J21" s="195"/>
      <c r="K21" s="195" t="s">
        <v>500</v>
      </c>
      <c r="L21" s="195" t="s">
        <v>500</v>
      </c>
      <c r="M21" s="195"/>
      <c r="N21" s="190" t="s">
        <v>294</v>
      </c>
      <c r="O21" s="196"/>
      <c r="P21" s="196"/>
      <c r="Q21" s="196"/>
    </row>
    <row r="22" spans="1:17" s="197" customFormat="1" ht="132" customHeight="1">
      <c r="A22" s="195">
        <v>6</v>
      </c>
      <c r="B22" s="195" t="s">
        <v>295</v>
      </c>
      <c r="C22" s="195"/>
      <c r="D22" s="195" t="s">
        <v>296</v>
      </c>
      <c r="E22" s="195"/>
      <c r="F22" s="195" t="s">
        <v>297</v>
      </c>
      <c r="G22" s="195" t="s">
        <v>298</v>
      </c>
      <c r="H22" s="195"/>
      <c r="I22" s="195" t="s">
        <v>299</v>
      </c>
      <c r="J22" s="195"/>
      <c r="K22" s="195" t="s">
        <v>500</v>
      </c>
      <c r="L22" s="195" t="s">
        <v>500</v>
      </c>
      <c r="M22" s="195"/>
      <c r="N22" s="190" t="s">
        <v>300</v>
      </c>
      <c r="O22" s="196"/>
      <c r="P22" s="196"/>
      <c r="Q22" s="196"/>
    </row>
    <row r="23" spans="1:17" s="197" customFormat="1" ht="131.25" customHeight="1">
      <c r="A23" s="195">
        <v>7</v>
      </c>
      <c r="B23" s="195" t="s">
        <v>301</v>
      </c>
      <c r="C23" s="195"/>
      <c r="D23" s="195" t="s">
        <v>302</v>
      </c>
      <c r="E23" s="195"/>
      <c r="F23" s="195" t="s">
        <v>303</v>
      </c>
      <c r="G23" s="195" t="s">
        <v>304</v>
      </c>
      <c r="H23" s="195"/>
      <c r="I23" s="195" t="s">
        <v>305</v>
      </c>
      <c r="J23" s="195"/>
      <c r="K23" s="195" t="s">
        <v>500</v>
      </c>
      <c r="L23" s="195" t="s">
        <v>500</v>
      </c>
      <c r="M23" s="195"/>
      <c r="N23" s="190" t="s">
        <v>306</v>
      </c>
      <c r="O23" s="196"/>
      <c r="P23" s="196"/>
      <c r="Q23" s="196"/>
    </row>
    <row r="24" spans="1:17" s="203" customFormat="1" ht="12.75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</row>
    <row r="25" spans="1:17" s="203" customFormat="1" ht="12.75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</row>
    <row r="26" spans="1:17" s="203" customFormat="1" ht="12.75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</row>
    <row r="27" spans="1:17" s="203" customFormat="1" ht="12.75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</row>
    <row r="28" spans="1:17" s="203" customFormat="1" ht="12.75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</row>
    <row r="29" spans="1:17" s="203" customFormat="1" ht="12.75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</row>
    <row r="30" spans="1:17" s="203" customFormat="1" ht="12.75">
      <c r="A30" s="20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</row>
    <row r="31" spans="1:17" s="203" customFormat="1" ht="12.75">
      <c r="A31" s="20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</row>
    <row r="32" spans="1:17" s="203" customFormat="1" ht="12.75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</row>
    <row r="33" spans="1:17" s="203" customFormat="1" ht="12.75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</row>
    <row r="34" spans="1:17" s="203" customFormat="1" ht="12.75">
      <c r="A34" s="20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</row>
    <row r="35" spans="1:17" s="203" customFormat="1" ht="12.75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</row>
    <row r="36" spans="1:17" s="203" customFormat="1" ht="12.75">
      <c r="A36" s="20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</row>
    <row r="37" spans="1:17" s="203" customFormat="1" ht="12.75">
      <c r="A37" s="202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</row>
    <row r="38" spans="1:17" s="203" customFormat="1" ht="12.75">
      <c r="A38" s="20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</row>
    <row r="39" spans="1:17" s="203" customFormat="1" ht="12.75">
      <c r="A39" s="20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</row>
    <row r="40" spans="1:17" s="203" customFormat="1" ht="12.75">
      <c r="A40" s="20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</row>
    <row r="41" spans="1:17" s="203" customFormat="1" ht="12.75">
      <c r="A41" s="202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</row>
    <row r="42" spans="1:17" s="203" customFormat="1" ht="12.75">
      <c r="A42" s="202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</row>
    <row r="43" spans="1:17" s="203" customFormat="1" ht="12.75">
      <c r="A43" s="202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</row>
    <row r="44" spans="1:17" s="203" customFormat="1" ht="12.75">
      <c r="A44" s="202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</row>
    <row r="45" spans="1:17" s="203" customFormat="1" ht="12.75">
      <c r="A45" s="202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</row>
    <row r="46" spans="1:17" ht="12.7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</row>
    <row r="47" spans="1:17" ht="12.7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</row>
    <row r="48" spans="1:17" ht="12.7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</row>
    <row r="49" spans="1:17" ht="12.7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</row>
    <row r="50" spans="1:17" ht="12.7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</row>
    <row r="51" spans="1:17" ht="12.7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</row>
    <row r="52" spans="1:17" ht="12.7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</row>
    <row r="53" spans="1:17" ht="12.7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</row>
  </sheetData>
  <sheetProtection/>
  <mergeCells count="14">
    <mergeCell ref="B13:B14"/>
    <mergeCell ref="C13:C14"/>
    <mergeCell ref="F13:F14"/>
    <mergeCell ref="G13:G14"/>
    <mergeCell ref="A16:N16"/>
    <mergeCell ref="H13:H14"/>
    <mergeCell ref="I13:I14"/>
    <mergeCell ref="K13:K14"/>
    <mergeCell ref="L13:L14"/>
    <mergeCell ref="M13:M14"/>
    <mergeCell ref="N13:N14"/>
    <mergeCell ref="J13:J14"/>
    <mergeCell ref="D13:E13"/>
    <mergeCell ref="A13:A14"/>
  </mergeCells>
  <printOptions/>
  <pageMargins left="0.7874015748031497" right="0.7874015748031497" top="0" bottom="0" header="0.5118110236220472" footer="0.5118110236220472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R125"/>
  <sheetViews>
    <sheetView view="pageBreakPreview" zoomScale="75" zoomScaleNormal="75" zoomScaleSheetLayoutView="75" zoomScalePageLayoutView="0" workbookViewId="0" topLeftCell="E1">
      <pane xSplit="6" ySplit="12" topLeftCell="K13" activePane="bottomRight" state="frozen"/>
      <selection pane="topLeft" activeCell="E1" sqref="E1"/>
      <selection pane="topRight" activeCell="K1" sqref="K1"/>
      <selection pane="bottomLeft" activeCell="E11" sqref="E11"/>
      <selection pane="bottomRight" activeCell="E17" sqref="E17:F17"/>
    </sheetView>
  </sheetViews>
  <sheetFormatPr defaultColWidth="9.140625" defaultRowHeight="12.75"/>
  <cols>
    <col min="1" max="1" width="2.140625" style="33" hidden="1" customWidth="1"/>
    <col min="2" max="2" width="3.00390625" style="34" hidden="1" customWidth="1"/>
    <col min="3" max="3" width="0.42578125" style="35" hidden="1" customWidth="1"/>
    <col min="4" max="4" width="1.1484375" style="36" hidden="1" customWidth="1"/>
    <col min="5" max="5" width="25.00390625" style="35" customWidth="1"/>
    <col min="6" max="6" width="30.8515625" style="33" customWidth="1"/>
    <col min="7" max="7" width="7.57421875" style="33" customWidth="1"/>
    <col min="8" max="10" width="9.140625" style="4" customWidth="1"/>
    <col min="11" max="11" width="5.8515625" style="4" customWidth="1"/>
    <col min="12" max="12" width="4.421875" style="4" customWidth="1"/>
    <col min="13" max="13" width="20.8515625" style="4" customWidth="1"/>
    <col min="14" max="14" width="21.28125" style="4" customWidth="1"/>
    <col min="15" max="15" width="18.421875" style="4" customWidth="1"/>
    <col min="16" max="16" width="17.28125" style="4" customWidth="1"/>
    <col min="17" max="17" width="18.00390625" style="425" bestFit="1" customWidth="1"/>
    <col min="18" max="18" width="15.57421875" style="4" customWidth="1"/>
    <col min="19" max="16384" width="9.140625" style="4" customWidth="1"/>
  </cols>
  <sheetData>
    <row r="1" ht="12.75">
      <c r="N1" s="4" t="s">
        <v>203</v>
      </c>
    </row>
    <row r="2" ht="12.75">
      <c r="N2" s="4" t="s">
        <v>357</v>
      </c>
    </row>
    <row r="3" spans="3:14" ht="12.75">
      <c r="C3" s="221"/>
      <c r="D3" s="221"/>
      <c r="E3" s="221"/>
      <c r="N3" s="4" t="s">
        <v>500</v>
      </c>
    </row>
    <row r="4" spans="3:14" ht="12.75">
      <c r="C4" s="221"/>
      <c r="D4" s="221"/>
      <c r="E4" s="221"/>
      <c r="N4" s="4" t="s">
        <v>501</v>
      </c>
    </row>
    <row r="5" spans="3:5" ht="12.75">
      <c r="C5" s="221"/>
      <c r="D5" s="221"/>
      <c r="E5" s="221"/>
    </row>
    <row r="6" spans="3:5" ht="12.75">
      <c r="C6" s="221"/>
      <c r="D6" s="221"/>
      <c r="E6" s="221"/>
    </row>
    <row r="7" spans="3:5" ht="12.75">
      <c r="C7" s="221"/>
      <c r="D7" s="221"/>
      <c r="E7" s="221"/>
    </row>
    <row r="8" spans="3:5" ht="12.75">
      <c r="C8" s="221"/>
      <c r="D8" s="221"/>
      <c r="E8" s="221"/>
    </row>
    <row r="9" spans="3:5" ht="15.75">
      <c r="C9" s="221"/>
      <c r="D9" s="221"/>
      <c r="E9" s="211" t="s">
        <v>80</v>
      </c>
    </row>
    <row r="10" spans="3:5" ht="12.75">
      <c r="C10" s="221"/>
      <c r="D10" s="221"/>
      <c r="E10" s="221"/>
    </row>
    <row r="11" spans="1:18" ht="36.75" customHeight="1">
      <c r="A11" s="710" t="s">
        <v>261</v>
      </c>
      <c r="B11" s="710"/>
      <c r="C11" s="710"/>
      <c r="D11" s="710"/>
      <c r="E11" s="710"/>
      <c r="F11" s="710"/>
      <c r="G11" s="710" t="s">
        <v>230</v>
      </c>
      <c r="H11" s="710" t="s">
        <v>472</v>
      </c>
      <c r="I11" s="710"/>
      <c r="J11" s="710"/>
      <c r="K11" s="710"/>
      <c r="L11" s="710"/>
      <c r="M11" s="657" t="s">
        <v>938</v>
      </c>
      <c r="N11" s="657" t="s">
        <v>81</v>
      </c>
      <c r="O11" s="710" t="s">
        <v>930</v>
      </c>
      <c r="P11" s="710" t="s">
        <v>935</v>
      </c>
      <c r="Q11" s="711" t="s">
        <v>937</v>
      </c>
      <c r="R11" s="713" t="s">
        <v>936</v>
      </c>
    </row>
    <row r="12" spans="1:18" s="150" customFormat="1" ht="29.25" customHeight="1">
      <c r="A12" s="710"/>
      <c r="B12" s="710"/>
      <c r="C12" s="710"/>
      <c r="D12" s="710"/>
      <c r="E12" s="710"/>
      <c r="F12" s="710"/>
      <c r="G12" s="710"/>
      <c r="H12" s="710" t="s">
        <v>231</v>
      </c>
      <c r="I12" s="710"/>
      <c r="J12" s="710"/>
      <c r="K12" s="710" t="s">
        <v>232</v>
      </c>
      <c r="L12" s="710"/>
      <c r="M12" s="657"/>
      <c r="N12" s="657"/>
      <c r="O12" s="710"/>
      <c r="P12" s="710"/>
      <c r="Q12" s="712"/>
      <c r="R12" s="714"/>
    </row>
    <row r="13" spans="1:18" s="2" customFormat="1" ht="36.75" customHeight="1">
      <c r="A13" s="709" t="s">
        <v>233</v>
      </c>
      <c r="B13" s="709"/>
      <c r="C13" s="709"/>
      <c r="D13" s="709"/>
      <c r="E13" s="709"/>
      <c r="F13" s="709"/>
      <c r="G13" s="709"/>
      <c r="H13" s="689" t="s">
        <v>116</v>
      </c>
      <c r="I13" s="689"/>
      <c r="J13" s="689"/>
      <c r="K13" s="690"/>
      <c r="L13" s="690"/>
      <c r="M13" s="429">
        <f>M14</f>
        <v>128336.23</v>
      </c>
      <c r="N13" s="429">
        <f>N14</f>
        <v>163260</v>
      </c>
      <c r="O13" s="430">
        <f>O14</f>
        <v>65530</v>
      </c>
      <c r="P13" s="431">
        <f>O13/N13</f>
        <v>0.40138429498958716</v>
      </c>
      <c r="Q13" s="430">
        <f>Q14</f>
        <v>141260</v>
      </c>
      <c r="R13" s="432">
        <f>Q13-N13</f>
        <v>-22000</v>
      </c>
    </row>
    <row r="14" spans="1:18" s="8" customFormat="1" ht="31.5" customHeight="1">
      <c r="A14" s="471"/>
      <c r="B14" s="709" t="s">
        <v>209</v>
      </c>
      <c r="C14" s="709"/>
      <c r="D14" s="709"/>
      <c r="E14" s="709"/>
      <c r="F14" s="709"/>
      <c r="G14" s="709"/>
      <c r="H14" s="675" t="s">
        <v>115</v>
      </c>
      <c r="I14" s="675"/>
      <c r="J14" s="675"/>
      <c r="K14" s="687"/>
      <c r="L14" s="687"/>
      <c r="M14" s="427">
        <f>SUM(M15:M18)</f>
        <v>128336.23</v>
      </c>
      <c r="N14" s="427">
        <f>SUM(N15:N18)</f>
        <v>163260</v>
      </c>
      <c r="O14" s="427">
        <f>SUM(O15:O18)</f>
        <v>65530</v>
      </c>
      <c r="P14" s="431">
        <f aca="true" t="shared" si="0" ref="P14:P77">O14/N14</f>
        <v>0.40138429498958716</v>
      </c>
      <c r="Q14" s="427">
        <f>SUM(Q15:Q18)</f>
        <v>141260</v>
      </c>
      <c r="R14" s="432">
        <f aca="true" t="shared" si="1" ref="R14:R77">Q14-N14</f>
        <v>-22000</v>
      </c>
    </row>
    <row r="15" spans="1:18" s="5" customFormat="1" ht="71.25" customHeight="1">
      <c r="A15" s="426"/>
      <c r="B15" s="426"/>
      <c r="C15" s="434" t="s">
        <v>316</v>
      </c>
      <c r="D15" s="435"/>
      <c r="E15" s="658" t="s">
        <v>316</v>
      </c>
      <c r="F15" s="659"/>
      <c r="G15" s="426"/>
      <c r="H15" s="664" t="s">
        <v>117</v>
      </c>
      <c r="I15" s="664"/>
      <c r="J15" s="664"/>
      <c r="K15" s="665"/>
      <c r="L15" s="665"/>
      <c r="M15" s="437">
        <v>126251.86</v>
      </c>
      <c r="N15" s="437">
        <f>166355-5000</f>
        <v>161355</v>
      </c>
      <c r="O15" s="437">
        <v>63780.6</v>
      </c>
      <c r="P15" s="431">
        <f t="shared" si="0"/>
        <v>0.3952812122338942</v>
      </c>
      <c r="Q15" s="438">
        <v>138000</v>
      </c>
      <c r="R15" s="432">
        <f t="shared" si="1"/>
        <v>-23355</v>
      </c>
    </row>
    <row r="16" spans="1:18" ht="120.75" customHeight="1">
      <c r="A16" s="439"/>
      <c r="B16" s="439"/>
      <c r="C16" s="439"/>
      <c r="D16" s="439"/>
      <c r="E16" s="666" t="s">
        <v>317</v>
      </c>
      <c r="F16" s="667"/>
      <c r="G16" s="440" t="s">
        <v>234</v>
      </c>
      <c r="H16" s="664" t="s">
        <v>118</v>
      </c>
      <c r="I16" s="664"/>
      <c r="J16" s="664"/>
      <c r="K16" s="669"/>
      <c r="L16" s="669"/>
      <c r="M16" s="437">
        <v>835.3</v>
      </c>
      <c r="N16" s="437">
        <v>875</v>
      </c>
      <c r="O16" s="442">
        <v>990.5</v>
      </c>
      <c r="P16" s="431">
        <f t="shared" si="0"/>
        <v>1.132</v>
      </c>
      <c r="Q16" s="438">
        <v>1900</v>
      </c>
      <c r="R16" s="432">
        <f t="shared" si="1"/>
        <v>1025</v>
      </c>
    </row>
    <row r="17" spans="1:18" ht="66.75" customHeight="1">
      <c r="A17" s="439"/>
      <c r="B17" s="439"/>
      <c r="C17" s="439"/>
      <c r="D17" s="439"/>
      <c r="E17" s="666" t="s">
        <v>318</v>
      </c>
      <c r="F17" s="667"/>
      <c r="G17" s="440" t="s">
        <v>234</v>
      </c>
      <c r="H17" s="664" t="s">
        <v>119</v>
      </c>
      <c r="I17" s="664"/>
      <c r="J17" s="664"/>
      <c r="K17" s="669"/>
      <c r="L17" s="669"/>
      <c r="M17" s="437">
        <v>908.93</v>
      </c>
      <c r="N17" s="437">
        <v>760</v>
      </c>
      <c r="O17" s="442">
        <v>409.8</v>
      </c>
      <c r="P17" s="431">
        <f t="shared" si="0"/>
        <v>0.5392105263157895</v>
      </c>
      <c r="Q17" s="438">
        <v>760</v>
      </c>
      <c r="R17" s="432">
        <f t="shared" si="1"/>
        <v>0</v>
      </c>
    </row>
    <row r="18" spans="1:18" ht="108.75" customHeight="1">
      <c r="A18" s="439"/>
      <c r="B18" s="439"/>
      <c r="C18" s="439"/>
      <c r="D18" s="439"/>
      <c r="E18" s="666" t="s">
        <v>120</v>
      </c>
      <c r="F18" s="667"/>
      <c r="G18" s="440" t="s">
        <v>234</v>
      </c>
      <c r="H18" s="664" t="s">
        <v>127</v>
      </c>
      <c r="I18" s="664"/>
      <c r="J18" s="664"/>
      <c r="K18" s="669"/>
      <c r="L18" s="669"/>
      <c r="M18" s="437">
        <v>340.14</v>
      </c>
      <c r="N18" s="437">
        <v>270</v>
      </c>
      <c r="O18" s="442">
        <v>349.1</v>
      </c>
      <c r="P18" s="431">
        <f t="shared" si="0"/>
        <v>1.292962962962963</v>
      </c>
      <c r="Q18" s="438">
        <v>600</v>
      </c>
      <c r="R18" s="432">
        <f t="shared" si="1"/>
        <v>330</v>
      </c>
    </row>
    <row r="19" spans="1:18" ht="39.75" customHeight="1">
      <c r="A19" s="439"/>
      <c r="B19" s="439"/>
      <c r="C19" s="439"/>
      <c r="D19" s="439"/>
      <c r="E19" s="704" t="s">
        <v>925</v>
      </c>
      <c r="F19" s="705"/>
      <c r="G19" s="436">
        <v>182</v>
      </c>
      <c r="H19" s="706" t="s">
        <v>928</v>
      </c>
      <c r="I19" s="707"/>
      <c r="J19" s="708"/>
      <c r="K19" s="443"/>
      <c r="L19" s="443"/>
      <c r="M19" s="444">
        <f>M20</f>
        <v>0</v>
      </c>
      <c r="N19" s="444">
        <f>N20</f>
        <v>6048.57</v>
      </c>
      <c r="O19" s="444">
        <f>O20</f>
        <v>3132.5</v>
      </c>
      <c r="P19" s="431">
        <f t="shared" si="0"/>
        <v>0.5178910056426561</v>
      </c>
      <c r="Q19" s="444">
        <f>Q20</f>
        <v>6048.57</v>
      </c>
      <c r="R19" s="432">
        <f t="shared" si="1"/>
        <v>0</v>
      </c>
    </row>
    <row r="20" spans="1:18" ht="39.75" customHeight="1">
      <c r="A20" s="439"/>
      <c r="B20" s="439"/>
      <c r="C20" s="439"/>
      <c r="D20" s="439"/>
      <c r="E20" s="658" t="s">
        <v>926</v>
      </c>
      <c r="F20" s="659"/>
      <c r="G20" s="440">
        <v>182</v>
      </c>
      <c r="H20" s="706" t="s">
        <v>927</v>
      </c>
      <c r="I20" s="707"/>
      <c r="J20" s="708"/>
      <c r="K20" s="441"/>
      <c r="L20" s="441"/>
      <c r="M20" s="445"/>
      <c r="N20" s="445">
        <f>3524+2524.57</f>
        <v>6048.57</v>
      </c>
      <c r="O20" s="442">
        <v>3132.5</v>
      </c>
      <c r="P20" s="431">
        <f t="shared" si="0"/>
        <v>0.5178910056426561</v>
      </c>
      <c r="Q20" s="438">
        <v>6048.57</v>
      </c>
      <c r="R20" s="432">
        <f t="shared" si="1"/>
        <v>0</v>
      </c>
    </row>
    <row r="21" spans="1:18" s="2" customFormat="1" ht="18.75" customHeight="1">
      <c r="A21" s="688" t="s">
        <v>235</v>
      </c>
      <c r="B21" s="688"/>
      <c r="C21" s="688"/>
      <c r="D21" s="688"/>
      <c r="E21" s="688"/>
      <c r="F21" s="688"/>
      <c r="G21" s="688"/>
      <c r="H21" s="689" t="s">
        <v>128</v>
      </c>
      <c r="I21" s="689"/>
      <c r="J21" s="689"/>
      <c r="K21" s="690"/>
      <c r="L21" s="690"/>
      <c r="M21" s="430">
        <f>M22+M26+M27</f>
        <v>10855.76</v>
      </c>
      <c r="N21" s="430">
        <f>N22+N26+N27</f>
        <v>13800</v>
      </c>
      <c r="O21" s="430">
        <f>O22+O26+O27</f>
        <v>8662</v>
      </c>
      <c r="P21" s="431">
        <f t="shared" si="0"/>
        <v>0.6276811594202899</v>
      </c>
      <c r="Q21" s="430">
        <f>Q22+Q26+Q27</f>
        <v>14500</v>
      </c>
      <c r="R21" s="432">
        <f t="shared" si="1"/>
        <v>700</v>
      </c>
    </row>
    <row r="22" spans="1:18" s="8" customFormat="1" ht="30.75" customHeight="1">
      <c r="A22" s="433"/>
      <c r="B22" s="686" t="s">
        <v>236</v>
      </c>
      <c r="C22" s="686"/>
      <c r="D22" s="686"/>
      <c r="E22" s="686"/>
      <c r="F22" s="686"/>
      <c r="G22" s="686"/>
      <c r="H22" s="675" t="s">
        <v>129</v>
      </c>
      <c r="I22" s="675"/>
      <c r="J22" s="675"/>
      <c r="K22" s="687"/>
      <c r="L22" s="687"/>
      <c r="M22" s="446">
        <f>M23+M24+M25</f>
        <v>3852.1000000000004</v>
      </c>
      <c r="N22" s="446">
        <f>N23+N24+N25</f>
        <v>4000</v>
      </c>
      <c r="O22" s="446">
        <f>O23+O24+O25</f>
        <v>2680.8</v>
      </c>
      <c r="P22" s="431">
        <f t="shared" si="0"/>
        <v>0.6702</v>
      </c>
      <c r="Q22" s="446">
        <v>4500</v>
      </c>
      <c r="R22" s="432">
        <f t="shared" si="1"/>
        <v>500</v>
      </c>
    </row>
    <row r="23" spans="1:18" ht="45" customHeight="1">
      <c r="A23" s="439"/>
      <c r="B23" s="439"/>
      <c r="C23" s="439"/>
      <c r="D23" s="439"/>
      <c r="E23" s="666" t="s">
        <v>121</v>
      </c>
      <c r="F23" s="667"/>
      <c r="G23" s="440" t="s">
        <v>234</v>
      </c>
      <c r="H23" s="668" t="s">
        <v>122</v>
      </c>
      <c r="I23" s="668"/>
      <c r="J23" s="668"/>
      <c r="K23" s="669"/>
      <c r="L23" s="669"/>
      <c r="M23" s="447">
        <v>2728.38</v>
      </c>
      <c r="N23" s="447">
        <f>2834-595</f>
        <v>2239</v>
      </c>
      <c r="O23" s="447">
        <v>1512.5</v>
      </c>
      <c r="P23" s="431">
        <f t="shared" si="0"/>
        <v>0.6755247878517195</v>
      </c>
      <c r="Q23" s="438">
        <v>2500</v>
      </c>
      <c r="R23" s="432">
        <f t="shared" si="1"/>
        <v>261</v>
      </c>
    </row>
    <row r="24" spans="1:18" ht="63.75" customHeight="1">
      <c r="A24" s="439"/>
      <c r="B24" s="439"/>
      <c r="C24" s="439"/>
      <c r="D24" s="439"/>
      <c r="E24" s="666" t="s">
        <v>124</v>
      </c>
      <c r="F24" s="667"/>
      <c r="G24" s="440" t="s">
        <v>234</v>
      </c>
      <c r="H24" s="668" t="s">
        <v>123</v>
      </c>
      <c r="I24" s="668"/>
      <c r="J24" s="668"/>
      <c r="K24" s="669"/>
      <c r="L24" s="669"/>
      <c r="M24" s="447">
        <v>708.86</v>
      </c>
      <c r="N24" s="447">
        <v>910</v>
      </c>
      <c r="O24" s="447">
        <v>726</v>
      </c>
      <c r="P24" s="431">
        <f t="shared" si="0"/>
        <v>0.7978021978021979</v>
      </c>
      <c r="Q24" s="438">
        <v>1010</v>
      </c>
      <c r="R24" s="432">
        <f t="shared" si="1"/>
        <v>100</v>
      </c>
    </row>
    <row r="25" spans="1:18" ht="40.5" customHeight="1">
      <c r="A25" s="439"/>
      <c r="B25" s="439"/>
      <c r="C25" s="439"/>
      <c r="D25" s="439"/>
      <c r="E25" s="666" t="s">
        <v>125</v>
      </c>
      <c r="F25" s="667"/>
      <c r="G25" s="440">
        <v>182</v>
      </c>
      <c r="H25" s="668" t="s">
        <v>126</v>
      </c>
      <c r="I25" s="668"/>
      <c r="J25" s="668"/>
      <c r="K25" s="669"/>
      <c r="L25" s="669"/>
      <c r="M25" s="447">
        <v>414.86</v>
      </c>
      <c r="N25" s="447">
        <v>851</v>
      </c>
      <c r="O25" s="447">
        <v>442.3</v>
      </c>
      <c r="P25" s="431">
        <f t="shared" si="0"/>
        <v>0.5197414806110459</v>
      </c>
      <c r="Q25" s="438">
        <v>851</v>
      </c>
      <c r="R25" s="432">
        <f t="shared" si="1"/>
        <v>0</v>
      </c>
    </row>
    <row r="26" spans="1:18" ht="39.75" customHeight="1">
      <c r="A26" s="439"/>
      <c r="B26" s="439"/>
      <c r="C26" s="439"/>
      <c r="D26" s="439"/>
      <c r="E26" s="666" t="s">
        <v>210</v>
      </c>
      <c r="F26" s="667"/>
      <c r="G26" s="440" t="s">
        <v>234</v>
      </c>
      <c r="H26" s="668" t="s">
        <v>130</v>
      </c>
      <c r="I26" s="668"/>
      <c r="J26" s="668"/>
      <c r="K26" s="669"/>
      <c r="L26" s="669"/>
      <c r="M26" s="447">
        <v>5611.17</v>
      </c>
      <c r="N26" s="447">
        <v>8000</v>
      </c>
      <c r="O26" s="447">
        <v>4041</v>
      </c>
      <c r="P26" s="431">
        <f t="shared" si="0"/>
        <v>0.505125</v>
      </c>
      <c r="Q26" s="438">
        <v>8000</v>
      </c>
      <c r="R26" s="432">
        <f t="shared" si="1"/>
        <v>0</v>
      </c>
    </row>
    <row r="27" spans="1:18" ht="24.75" customHeight="1">
      <c r="A27" s="439"/>
      <c r="B27" s="439"/>
      <c r="C27" s="439"/>
      <c r="D27" s="439"/>
      <c r="E27" s="666" t="s">
        <v>208</v>
      </c>
      <c r="F27" s="667"/>
      <c r="G27" s="440" t="s">
        <v>234</v>
      </c>
      <c r="H27" s="668" t="s">
        <v>58</v>
      </c>
      <c r="I27" s="668"/>
      <c r="J27" s="668"/>
      <c r="K27" s="669"/>
      <c r="L27" s="669"/>
      <c r="M27" s="447">
        <v>1392.49</v>
      </c>
      <c r="N27" s="447">
        <v>1800</v>
      </c>
      <c r="O27" s="447">
        <v>1940.2</v>
      </c>
      <c r="P27" s="431">
        <f t="shared" si="0"/>
        <v>1.077888888888889</v>
      </c>
      <c r="Q27" s="438">
        <v>2000</v>
      </c>
      <c r="R27" s="432">
        <f t="shared" si="1"/>
        <v>200</v>
      </c>
    </row>
    <row r="28" spans="1:18" s="2" customFormat="1" ht="25.5" customHeight="1">
      <c r="A28" s="688" t="s">
        <v>237</v>
      </c>
      <c r="B28" s="688"/>
      <c r="C28" s="688"/>
      <c r="D28" s="688"/>
      <c r="E28" s="688"/>
      <c r="F28" s="688"/>
      <c r="G28" s="688"/>
      <c r="H28" s="689" t="s">
        <v>238</v>
      </c>
      <c r="I28" s="689"/>
      <c r="J28" s="689"/>
      <c r="K28" s="690"/>
      <c r="L28" s="690"/>
      <c r="M28" s="430">
        <f aca="true" t="shared" si="2" ref="M28:Q29">M29</f>
        <v>2931.71</v>
      </c>
      <c r="N28" s="430">
        <f t="shared" si="2"/>
        <v>3500</v>
      </c>
      <c r="O28" s="430">
        <f t="shared" si="2"/>
        <v>1945.6</v>
      </c>
      <c r="P28" s="431">
        <f t="shared" si="0"/>
        <v>0.5558857142857142</v>
      </c>
      <c r="Q28" s="430">
        <f t="shared" si="2"/>
        <v>3600</v>
      </c>
      <c r="R28" s="432">
        <f t="shared" si="1"/>
        <v>100</v>
      </c>
    </row>
    <row r="29" spans="1:18" s="8" customFormat="1" ht="31.5" customHeight="1">
      <c r="A29" s="433"/>
      <c r="B29" s="703" t="s">
        <v>454</v>
      </c>
      <c r="C29" s="703"/>
      <c r="D29" s="703"/>
      <c r="E29" s="703"/>
      <c r="F29" s="703"/>
      <c r="G29" s="703"/>
      <c r="H29" s="675" t="s">
        <v>133</v>
      </c>
      <c r="I29" s="675"/>
      <c r="J29" s="675"/>
      <c r="K29" s="687"/>
      <c r="L29" s="687"/>
      <c r="M29" s="446">
        <f t="shared" si="2"/>
        <v>2931.71</v>
      </c>
      <c r="N29" s="446">
        <f t="shared" si="2"/>
        <v>3500</v>
      </c>
      <c r="O29" s="446">
        <f t="shared" si="2"/>
        <v>1945.6</v>
      </c>
      <c r="P29" s="431">
        <f t="shared" si="0"/>
        <v>0.5558857142857142</v>
      </c>
      <c r="Q29" s="448">
        <f>Q30</f>
        <v>3600</v>
      </c>
      <c r="R29" s="432">
        <f t="shared" si="1"/>
        <v>100</v>
      </c>
    </row>
    <row r="30" spans="1:18" ht="63" customHeight="1">
      <c r="A30" s="439"/>
      <c r="B30" s="439"/>
      <c r="C30" s="439"/>
      <c r="D30" s="439"/>
      <c r="E30" s="666" t="s">
        <v>132</v>
      </c>
      <c r="F30" s="667"/>
      <c r="G30" s="440" t="s">
        <v>234</v>
      </c>
      <c r="H30" s="668" t="s">
        <v>131</v>
      </c>
      <c r="I30" s="668"/>
      <c r="J30" s="668"/>
      <c r="K30" s="669"/>
      <c r="L30" s="669"/>
      <c r="M30" s="449">
        <v>2931.71</v>
      </c>
      <c r="N30" s="449">
        <v>3500</v>
      </c>
      <c r="O30" s="449">
        <v>1945.6</v>
      </c>
      <c r="P30" s="431">
        <f t="shared" si="0"/>
        <v>0.5558857142857142</v>
      </c>
      <c r="Q30" s="438">
        <v>3600</v>
      </c>
      <c r="R30" s="432">
        <f t="shared" si="1"/>
        <v>100</v>
      </c>
    </row>
    <row r="31" spans="1:18" ht="22.5" customHeight="1" hidden="1">
      <c r="A31" s="439"/>
      <c r="B31" s="439"/>
      <c r="C31" s="439"/>
      <c r="D31" s="439"/>
      <c r="E31" s="698" t="s">
        <v>384</v>
      </c>
      <c r="F31" s="699"/>
      <c r="G31" s="450"/>
      <c r="H31" s="700">
        <v>10900000000000</v>
      </c>
      <c r="I31" s="700"/>
      <c r="J31" s="700"/>
      <c r="K31" s="451"/>
      <c r="L31" s="451"/>
      <c r="M31" s="452">
        <f>M32</f>
        <v>0</v>
      </c>
      <c r="N31" s="452">
        <f>N32</f>
        <v>0</v>
      </c>
      <c r="O31" s="452"/>
      <c r="P31" s="431" t="e">
        <f t="shared" si="0"/>
        <v>#DIV/0!</v>
      </c>
      <c r="Q31" s="453"/>
      <c r="R31" s="432">
        <f t="shared" si="1"/>
        <v>0</v>
      </c>
    </row>
    <row r="32" spans="1:18" ht="20.25" customHeight="1" hidden="1">
      <c r="A32" s="439"/>
      <c r="B32" s="439"/>
      <c r="C32" s="439"/>
      <c r="D32" s="439"/>
      <c r="E32" s="701" t="s">
        <v>384</v>
      </c>
      <c r="F32" s="702"/>
      <c r="G32" s="454"/>
      <c r="H32" s="692">
        <v>10900000000000</v>
      </c>
      <c r="I32" s="692"/>
      <c r="J32" s="692"/>
      <c r="K32" s="455"/>
      <c r="L32" s="455"/>
      <c r="M32" s="135"/>
      <c r="N32" s="135"/>
      <c r="O32" s="135"/>
      <c r="P32" s="431" t="e">
        <f t="shared" si="0"/>
        <v>#DIV/0!</v>
      </c>
      <c r="Q32" s="438"/>
      <c r="R32" s="432">
        <f t="shared" si="1"/>
        <v>0</v>
      </c>
    </row>
    <row r="33" spans="1:18" s="2" customFormat="1" ht="64.5" customHeight="1">
      <c r="A33" s="688" t="s">
        <v>135</v>
      </c>
      <c r="B33" s="688"/>
      <c r="C33" s="688"/>
      <c r="D33" s="688"/>
      <c r="E33" s="688"/>
      <c r="F33" s="688"/>
      <c r="G33" s="688"/>
      <c r="H33" s="689" t="s">
        <v>134</v>
      </c>
      <c r="I33" s="689"/>
      <c r="J33" s="689"/>
      <c r="K33" s="690"/>
      <c r="L33" s="690"/>
      <c r="M33" s="430">
        <f>M34</f>
        <v>21553.83</v>
      </c>
      <c r="N33" s="430">
        <f>N34</f>
        <v>40382</v>
      </c>
      <c r="O33" s="430">
        <f>O34</f>
        <v>11699.7</v>
      </c>
      <c r="P33" s="431">
        <f t="shared" si="0"/>
        <v>0.2897256203258878</v>
      </c>
      <c r="Q33" s="430">
        <f>Q34</f>
        <v>23700</v>
      </c>
      <c r="R33" s="432">
        <f t="shared" si="1"/>
        <v>-16682</v>
      </c>
    </row>
    <row r="34" spans="1:18" s="122" customFormat="1" ht="108.75" customHeight="1">
      <c r="A34" s="456"/>
      <c r="B34" s="456"/>
      <c r="C34" s="456"/>
      <c r="D34" s="456"/>
      <c r="E34" s="694" t="s">
        <v>319</v>
      </c>
      <c r="F34" s="695"/>
      <c r="G34" s="456">
        <v>300</v>
      </c>
      <c r="H34" s="675" t="s">
        <v>136</v>
      </c>
      <c r="I34" s="675"/>
      <c r="J34" s="675"/>
      <c r="K34" s="696"/>
      <c r="L34" s="697"/>
      <c r="M34" s="457">
        <f>M35+M36+M37</f>
        <v>21553.83</v>
      </c>
      <c r="N34" s="457">
        <f>N35+N36+N37</f>
        <v>40382</v>
      </c>
      <c r="O34" s="457">
        <f>O35+O36+O37</f>
        <v>11699.7</v>
      </c>
      <c r="P34" s="431">
        <f t="shared" si="0"/>
        <v>0.2897256203258878</v>
      </c>
      <c r="Q34" s="457">
        <f>Q35+Q36+Q37</f>
        <v>23700</v>
      </c>
      <c r="R34" s="432">
        <f t="shared" si="1"/>
        <v>-16682</v>
      </c>
    </row>
    <row r="35" spans="1:18" s="8" customFormat="1" ht="85.5" customHeight="1">
      <c r="A35" s="433"/>
      <c r="B35" s="686" t="s">
        <v>137</v>
      </c>
      <c r="C35" s="686"/>
      <c r="D35" s="686"/>
      <c r="E35" s="686"/>
      <c r="F35" s="686"/>
      <c r="G35" s="686"/>
      <c r="H35" s="675" t="s">
        <v>138</v>
      </c>
      <c r="I35" s="675"/>
      <c r="J35" s="675"/>
      <c r="K35" s="687"/>
      <c r="L35" s="687"/>
      <c r="M35" s="446">
        <v>10391.06</v>
      </c>
      <c r="N35" s="446">
        <v>26000</v>
      </c>
      <c r="O35" s="446">
        <v>5944.2</v>
      </c>
      <c r="P35" s="431">
        <f t="shared" si="0"/>
        <v>0.22862307692307693</v>
      </c>
      <c r="Q35" s="438">
        <v>12000</v>
      </c>
      <c r="R35" s="432">
        <f t="shared" si="1"/>
        <v>-14000</v>
      </c>
    </row>
    <row r="36" spans="1:18" s="5" customFormat="1" ht="90.75" customHeight="1">
      <c r="A36" s="426"/>
      <c r="B36" s="426"/>
      <c r="C36" s="663" t="s">
        <v>358</v>
      </c>
      <c r="D36" s="663"/>
      <c r="E36" s="663"/>
      <c r="F36" s="663"/>
      <c r="G36" s="663"/>
      <c r="H36" s="664" t="s">
        <v>139</v>
      </c>
      <c r="I36" s="664"/>
      <c r="J36" s="664"/>
      <c r="K36" s="665"/>
      <c r="L36" s="665"/>
      <c r="M36" s="458">
        <v>9712.84</v>
      </c>
      <c r="N36" s="458">
        <v>10500</v>
      </c>
      <c r="O36" s="458">
        <v>5224.5</v>
      </c>
      <c r="P36" s="431">
        <f t="shared" si="0"/>
        <v>0.49757142857142855</v>
      </c>
      <c r="Q36" s="438">
        <v>10500</v>
      </c>
      <c r="R36" s="432">
        <f t="shared" si="1"/>
        <v>0</v>
      </c>
    </row>
    <row r="37" spans="1:18" s="5" customFormat="1" ht="93.75" customHeight="1">
      <c r="A37" s="426"/>
      <c r="B37" s="426"/>
      <c r="C37" s="663" t="s">
        <v>435</v>
      </c>
      <c r="D37" s="663"/>
      <c r="E37" s="663"/>
      <c r="F37" s="663"/>
      <c r="G37" s="663"/>
      <c r="H37" s="664" t="s">
        <v>140</v>
      </c>
      <c r="I37" s="664"/>
      <c r="J37" s="664"/>
      <c r="K37" s="665"/>
      <c r="L37" s="665"/>
      <c r="M37" s="458">
        <f>M38</f>
        <v>1449.93</v>
      </c>
      <c r="N37" s="458">
        <f>N38</f>
        <v>3882</v>
      </c>
      <c r="O37" s="458">
        <f>O38</f>
        <v>531</v>
      </c>
      <c r="P37" s="431">
        <f t="shared" si="0"/>
        <v>0.1367851622874807</v>
      </c>
      <c r="Q37" s="458">
        <f>Q38</f>
        <v>1200</v>
      </c>
      <c r="R37" s="432">
        <f t="shared" si="1"/>
        <v>-2682</v>
      </c>
    </row>
    <row r="38" spans="1:18" ht="81" customHeight="1">
      <c r="A38" s="439"/>
      <c r="B38" s="439"/>
      <c r="C38" s="439"/>
      <c r="D38" s="439"/>
      <c r="E38" s="666" t="s">
        <v>178</v>
      </c>
      <c r="F38" s="667"/>
      <c r="G38" s="440" t="s">
        <v>514</v>
      </c>
      <c r="H38" s="668" t="s">
        <v>141</v>
      </c>
      <c r="I38" s="668"/>
      <c r="J38" s="668"/>
      <c r="K38" s="669"/>
      <c r="L38" s="669"/>
      <c r="M38" s="447">
        <v>1449.93</v>
      </c>
      <c r="N38" s="447">
        <f>1941*2</f>
        <v>3882</v>
      </c>
      <c r="O38" s="447">
        <v>531</v>
      </c>
      <c r="P38" s="431">
        <f t="shared" si="0"/>
        <v>0.1367851622874807</v>
      </c>
      <c r="Q38" s="438">
        <v>1200</v>
      </c>
      <c r="R38" s="432">
        <f t="shared" si="1"/>
        <v>-2682</v>
      </c>
    </row>
    <row r="39" spans="1:18" s="2" customFormat="1" ht="33" customHeight="1">
      <c r="A39" s="688" t="s">
        <v>240</v>
      </c>
      <c r="B39" s="688"/>
      <c r="C39" s="688"/>
      <c r="D39" s="688"/>
      <c r="E39" s="688"/>
      <c r="F39" s="688"/>
      <c r="G39" s="688"/>
      <c r="H39" s="689" t="s">
        <v>142</v>
      </c>
      <c r="I39" s="689"/>
      <c r="J39" s="689"/>
      <c r="K39" s="690"/>
      <c r="L39" s="690"/>
      <c r="M39" s="430">
        <f>M40</f>
        <v>560.3</v>
      </c>
      <c r="N39" s="430">
        <f>N40</f>
        <v>1500</v>
      </c>
      <c r="O39" s="430">
        <f>O40</f>
        <v>257.4</v>
      </c>
      <c r="P39" s="431">
        <f t="shared" si="0"/>
        <v>0.17159999999999997</v>
      </c>
      <c r="Q39" s="430">
        <f>Q40</f>
        <v>1200</v>
      </c>
      <c r="R39" s="432">
        <f t="shared" si="1"/>
        <v>-300</v>
      </c>
    </row>
    <row r="40" spans="1:18" ht="27" customHeight="1">
      <c r="A40" s="439"/>
      <c r="B40" s="439"/>
      <c r="C40" s="439"/>
      <c r="D40" s="439"/>
      <c r="E40" s="666" t="s">
        <v>146</v>
      </c>
      <c r="F40" s="667"/>
      <c r="G40" s="440" t="s">
        <v>241</v>
      </c>
      <c r="H40" s="668" t="s">
        <v>143</v>
      </c>
      <c r="I40" s="668"/>
      <c r="J40" s="668"/>
      <c r="K40" s="669"/>
      <c r="L40" s="669"/>
      <c r="M40" s="135">
        <v>560.3</v>
      </c>
      <c r="N40" s="135">
        <v>1500</v>
      </c>
      <c r="O40" s="135">
        <v>257.4</v>
      </c>
      <c r="P40" s="431">
        <f t="shared" si="0"/>
        <v>0.17159999999999997</v>
      </c>
      <c r="Q40" s="438">
        <v>1200</v>
      </c>
      <c r="R40" s="432">
        <f t="shared" si="1"/>
        <v>-300</v>
      </c>
    </row>
    <row r="41" spans="1:18" s="2" customFormat="1" ht="30.75" customHeight="1">
      <c r="A41" s="688" t="s">
        <v>490</v>
      </c>
      <c r="B41" s="688"/>
      <c r="C41" s="688"/>
      <c r="D41" s="688"/>
      <c r="E41" s="688"/>
      <c r="F41" s="688"/>
      <c r="G41" s="688"/>
      <c r="H41" s="689" t="s">
        <v>1</v>
      </c>
      <c r="I41" s="689"/>
      <c r="J41" s="689"/>
      <c r="K41" s="690"/>
      <c r="L41" s="690"/>
      <c r="M41" s="430">
        <f>M42</f>
        <v>6296.5</v>
      </c>
      <c r="N41" s="430">
        <f>N42</f>
        <v>6700</v>
      </c>
      <c r="O41" s="430">
        <f>O42</f>
        <v>2977.9</v>
      </c>
      <c r="P41" s="431">
        <f t="shared" si="0"/>
        <v>0.4444626865671642</v>
      </c>
      <c r="Q41" s="430">
        <f>Q42</f>
        <v>6700</v>
      </c>
      <c r="R41" s="432">
        <f t="shared" si="1"/>
        <v>0</v>
      </c>
    </row>
    <row r="42" spans="1:18" s="8" customFormat="1" ht="48" customHeight="1">
      <c r="A42" s="433"/>
      <c r="B42" s="686" t="s">
        <v>144</v>
      </c>
      <c r="C42" s="686"/>
      <c r="D42" s="686"/>
      <c r="E42" s="686"/>
      <c r="F42" s="686"/>
      <c r="G42" s="686"/>
      <c r="H42" s="675" t="s">
        <v>0</v>
      </c>
      <c r="I42" s="675"/>
      <c r="J42" s="675"/>
      <c r="K42" s="687"/>
      <c r="L42" s="687"/>
      <c r="M42" s="459">
        <v>6296.5</v>
      </c>
      <c r="N42" s="459">
        <v>6700</v>
      </c>
      <c r="O42" s="459">
        <v>2977.9</v>
      </c>
      <c r="P42" s="431">
        <f t="shared" si="0"/>
        <v>0.4444626865671642</v>
      </c>
      <c r="Q42" s="438">
        <v>6700</v>
      </c>
      <c r="R42" s="432">
        <f t="shared" si="1"/>
        <v>0</v>
      </c>
    </row>
    <row r="43" spans="1:18" s="2" customFormat="1" ht="54.75" customHeight="1">
      <c r="A43" s="688" t="s">
        <v>330</v>
      </c>
      <c r="B43" s="688"/>
      <c r="C43" s="688"/>
      <c r="D43" s="688"/>
      <c r="E43" s="688"/>
      <c r="F43" s="688"/>
      <c r="G43" s="688"/>
      <c r="H43" s="689" t="s">
        <v>3</v>
      </c>
      <c r="I43" s="689"/>
      <c r="J43" s="689"/>
      <c r="K43" s="690"/>
      <c r="L43" s="690"/>
      <c r="M43" s="430">
        <f>M44+M46</f>
        <v>2821.55</v>
      </c>
      <c r="N43" s="430">
        <f>N44+N46</f>
        <v>11500</v>
      </c>
      <c r="O43" s="430">
        <f>O44+O46</f>
        <v>1648</v>
      </c>
      <c r="P43" s="431">
        <f t="shared" si="0"/>
        <v>0.14330434782608695</v>
      </c>
      <c r="Q43" s="430">
        <f>Q44+Q46</f>
        <v>2600</v>
      </c>
      <c r="R43" s="432">
        <f t="shared" si="1"/>
        <v>-8900</v>
      </c>
    </row>
    <row r="44" spans="1:18" s="2" customFormat="1" ht="97.5" customHeight="1">
      <c r="A44" s="460"/>
      <c r="B44" s="460"/>
      <c r="C44" s="460"/>
      <c r="D44" s="460"/>
      <c r="E44" s="691" t="s">
        <v>2</v>
      </c>
      <c r="F44" s="691"/>
      <c r="G44" s="691"/>
      <c r="H44" s="692" t="s">
        <v>4</v>
      </c>
      <c r="I44" s="692"/>
      <c r="J44" s="692"/>
      <c r="K44" s="691"/>
      <c r="L44" s="691"/>
      <c r="M44" s="449"/>
      <c r="N44" s="449"/>
      <c r="O44" s="457">
        <v>587.7</v>
      </c>
      <c r="P44" s="431" t="e">
        <f t="shared" si="0"/>
        <v>#DIV/0!</v>
      </c>
      <c r="Q44" s="438">
        <v>600</v>
      </c>
      <c r="R44" s="432">
        <f t="shared" si="1"/>
        <v>600</v>
      </c>
    </row>
    <row r="45" spans="1:18" s="2" customFormat="1" ht="37.5" customHeight="1" hidden="1">
      <c r="A45" s="460"/>
      <c r="B45" s="460"/>
      <c r="C45" s="460"/>
      <c r="D45" s="460"/>
      <c r="E45" s="691" t="s">
        <v>172</v>
      </c>
      <c r="F45" s="691"/>
      <c r="G45" s="691"/>
      <c r="H45" s="692">
        <v>11402033000000</v>
      </c>
      <c r="I45" s="692"/>
      <c r="J45" s="692"/>
      <c r="K45" s="693">
        <v>410</v>
      </c>
      <c r="L45" s="693"/>
      <c r="M45" s="367">
        <v>0</v>
      </c>
      <c r="N45" s="367">
        <v>0</v>
      </c>
      <c r="O45" s="367">
        <v>0</v>
      </c>
      <c r="P45" s="431" t="e">
        <f t="shared" si="0"/>
        <v>#DIV/0!</v>
      </c>
      <c r="Q45" s="438" t="e">
        <f>#REF!/#REF!</f>
        <v>#REF!</v>
      </c>
      <c r="R45" s="432" t="e">
        <f t="shared" si="1"/>
        <v>#REF!</v>
      </c>
    </row>
    <row r="46" spans="1:18" s="8" customFormat="1" ht="54.75" customHeight="1">
      <c r="A46" s="433"/>
      <c r="B46" s="686" t="s">
        <v>6</v>
      </c>
      <c r="C46" s="686"/>
      <c r="D46" s="686"/>
      <c r="E46" s="686"/>
      <c r="F46" s="686"/>
      <c r="G46" s="686"/>
      <c r="H46" s="675" t="s">
        <v>5</v>
      </c>
      <c r="I46" s="675"/>
      <c r="J46" s="675"/>
      <c r="K46" s="687"/>
      <c r="L46" s="687"/>
      <c r="M46" s="446">
        <f>M47</f>
        <v>2821.55</v>
      </c>
      <c r="N46" s="446">
        <f>N47</f>
        <v>11500</v>
      </c>
      <c r="O46" s="446">
        <f>O47</f>
        <v>1060.3</v>
      </c>
      <c r="P46" s="431">
        <f t="shared" si="0"/>
        <v>0.09219999999999999</v>
      </c>
      <c r="Q46" s="446">
        <f>Q47</f>
        <v>2000</v>
      </c>
      <c r="R46" s="432">
        <f t="shared" si="1"/>
        <v>-9500</v>
      </c>
    </row>
    <row r="47" spans="1:18" ht="71.25" customHeight="1">
      <c r="A47" s="439"/>
      <c r="B47" s="439"/>
      <c r="C47" s="439"/>
      <c r="D47" s="439"/>
      <c r="E47" s="666" t="s">
        <v>8</v>
      </c>
      <c r="F47" s="667"/>
      <c r="G47" s="440" t="s">
        <v>239</v>
      </c>
      <c r="H47" s="664" t="s">
        <v>7</v>
      </c>
      <c r="I47" s="664"/>
      <c r="J47" s="664"/>
      <c r="K47" s="669"/>
      <c r="L47" s="669"/>
      <c r="M47" s="136">
        <v>2821.55</v>
      </c>
      <c r="N47" s="136">
        <v>11500</v>
      </c>
      <c r="O47" s="136">
        <v>1060.3</v>
      </c>
      <c r="P47" s="431">
        <f t="shared" si="0"/>
        <v>0.09219999999999999</v>
      </c>
      <c r="Q47" s="438">
        <v>2000</v>
      </c>
      <c r="R47" s="432">
        <f t="shared" si="1"/>
        <v>-9500</v>
      </c>
    </row>
    <row r="48" spans="1:18" s="2" customFormat="1" ht="25.5" customHeight="1">
      <c r="A48" s="688" t="s">
        <v>331</v>
      </c>
      <c r="B48" s="688"/>
      <c r="C48" s="688"/>
      <c r="D48" s="688"/>
      <c r="E48" s="688"/>
      <c r="F48" s="688"/>
      <c r="G48" s="688"/>
      <c r="H48" s="689" t="s">
        <v>9</v>
      </c>
      <c r="I48" s="689"/>
      <c r="J48" s="689"/>
      <c r="K48" s="690"/>
      <c r="L48" s="690"/>
      <c r="M48" s="430">
        <f>M49+M55+M66+M69+M81+M82+M83+M84+M85+M86</f>
        <v>3908.29</v>
      </c>
      <c r="N48" s="430">
        <f>N49+N55+N66+N69+N81+N82+N83+N84+N85+N86</f>
        <v>3330</v>
      </c>
      <c r="O48" s="430">
        <f>O49+O55+O66+O69+O81+O82+O83+O84+O85+O86+O63+O64+O65+O68</f>
        <v>1953.8999999999999</v>
      </c>
      <c r="P48" s="431">
        <f t="shared" si="0"/>
        <v>0.5867567567567568</v>
      </c>
      <c r="Q48" s="430">
        <f>Q49+Q55+Q66+Q69+Q81+Q82+Q83+Q84+Q85+Q86</f>
        <v>3846</v>
      </c>
      <c r="R48" s="432">
        <f t="shared" si="1"/>
        <v>516</v>
      </c>
    </row>
    <row r="49" spans="1:18" s="8" customFormat="1" ht="45" customHeight="1">
      <c r="A49" s="433"/>
      <c r="B49" s="686" t="s">
        <v>11</v>
      </c>
      <c r="C49" s="686"/>
      <c r="D49" s="686"/>
      <c r="E49" s="686"/>
      <c r="F49" s="686"/>
      <c r="G49" s="686"/>
      <c r="H49" s="675" t="s">
        <v>10</v>
      </c>
      <c r="I49" s="675"/>
      <c r="J49" s="675"/>
      <c r="K49" s="687"/>
      <c r="L49" s="687"/>
      <c r="M49" s="459">
        <f>M50+M54</f>
        <v>252</v>
      </c>
      <c r="N49" s="459">
        <f>N50+N54</f>
        <v>2</v>
      </c>
      <c r="O49" s="459">
        <f>O50+O54</f>
        <v>32.1</v>
      </c>
      <c r="P49" s="431">
        <f t="shared" si="0"/>
        <v>16.05</v>
      </c>
      <c r="Q49" s="459">
        <f>Q50+Q54</f>
        <v>50</v>
      </c>
      <c r="R49" s="432">
        <f t="shared" si="1"/>
        <v>48</v>
      </c>
    </row>
    <row r="50" spans="1:18" ht="99" customHeight="1">
      <c r="A50" s="439"/>
      <c r="B50" s="439"/>
      <c r="C50" s="439"/>
      <c r="D50" s="439"/>
      <c r="E50" s="666" t="s">
        <v>12</v>
      </c>
      <c r="F50" s="667"/>
      <c r="G50" s="440" t="s">
        <v>234</v>
      </c>
      <c r="H50" s="668" t="s">
        <v>13</v>
      </c>
      <c r="I50" s="668"/>
      <c r="J50" s="668"/>
      <c r="K50" s="669"/>
      <c r="L50" s="669"/>
      <c r="M50" s="472">
        <v>250</v>
      </c>
      <c r="N50" s="447"/>
      <c r="O50" s="135"/>
      <c r="P50" s="431" t="e">
        <f t="shared" si="0"/>
        <v>#DIV/0!</v>
      </c>
      <c r="Q50" s="447"/>
      <c r="R50" s="432">
        <f t="shared" si="1"/>
        <v>0</v>
      </c>
    </row>
    <row r="51" spans="1:18" ht="30" customHeight="1" hidden="1">
      <c r="A51" s="439"/>
      <c r="B51" s="439"/>
      <c r="C51" s="439"/>
      <c r="D51" s="439"/>
      <c r="E51" s="666" t="s">
        <v>333</v>
      </c>
      <c r="F51" s="667"/>
      <c r="G51" s="440" t="s">
        <v>234</v>
      </c>
      <c r="H51" s="668" t="s">
        <v>334</v>
      </c>
      <c r="I51" s="668"/>
      <c r="J51" s="668"/>
      <c r="K51" s="669" t="s">
        <v>332</v>
      </c>
      <c r="L51" s="669"/>
      <c r="M51" s="472"/>
      <c r="N51" s="447"/>
      <c r="O51" s="135"/>
      <c r="P51" s="431" t="e">
        <f t="shared" si="0"/>
        <v>#DIV/0!</v>
      </c>
      <c r="Q51" s="447"/>
      <c r="R51" s="432">
        <f t="shared" si="1"/>
        <v>0</v>
      </c>
    </row>
    <row r="52" spans="1:18" s="8" customFormat="1" ht="33" customHeight="1" hidden="1">
      <c r="A52" s="433"/>
      <c r="B52" s="686" t="s">
        <v>335</v>
      </c>
      <c r="C52" s="686"/>
      <c r="D52" s="686"/>
      <c r="E52" s="686"/>
      <c r="F52" s="686"/>
      <c r="G52" s="686"/>
      <c r="H52" s="675" t="s">
        <v>336</v>
      </c>
      <c r="I52" s="675"/>
      <c r="J52" s="675"/>
      <c r="K52" s="687"/>
      <c r="L52" s="687"/>
      <c r="M52" s="473">
        <f>M53</f>
        <v>0</v>
      </c>
      <c r="N52" s="459">
        <f>N53</f>
        <v>0</v>
      </c>
      <c r="O52" s="446">
        <f>O53</f>
        <v>0</v>
      </c>
      <c r="P52" s="431" t="e">
        <f t="shared" si="0"/>
        <v>#DIV/0!</v>
      </c>
      <c r="Q52" s="459">
        <f>Q53</f>
        <v>0</v>
      </c>
      <c r="R52" s="432">
        <f t="shared" si="1"/>
        <v>0</v>
      </c>
    </row>
    <row r="53" spans="1:18" ht="43.5" customHeight="1" hidden="1">
      <c r="A53" s="439"/>
      <c r="B53" s="439"/>
      <c r="C53" s="439"/>
      <c r="D53" s="439"/>
      <c r="E53" s="666" t="s">
        <v>338</v>
      </c>
      <c r="F53" s="667"/>
      <c r="G53" s="440" t="s">
        <v>514</v>
      </c>
      <c r="H53" s="668" t="s">
        <v>339</v>
      </c>
      <c r="I53" s="668"/>
      <c r="J53" s="668"/>
      <c r="K53" s="669" t="s">
        <v>332</v>
      </c>
      <c r="L53" s="669"/>
      <c r="M53" s="472">
        <v>0</v>
      </c>
      <c r="N53" s="447">
        <v>0</v>
      </c>
      <c r="O53" s="135">
        <v>0</v>
      </c>
      <c r="P53" s="431" t="e">
        <f t="shared" si="0"/>
        <v>#DIV/0!</v>
      </c>
      <c r="Q53" s="447">
        <v>0</v>
      </c>
      <c r="R53" s="432">
        <f t="shared" si="1"/>
        <v>0</v>
      </c>
    </row>
    <row r="54" spans="1:18" ht="93" customHeight="1">
      <c r="A54" s="439"/>
      <c r="B54" s="439"/>
      <c r="C54" s="439"/>
      <c r="D54" s="439"/>
      <c r="E54" s="666" t="s">
        <v>14</v>
      </c>
      <c r="F54" s="667"/>
      <c r="G54" s="440" t="s">
        <v>234</v>
      </c>
      <c r="H54" s="668" t="s">
        <v>15</v>
      </c>
      <c r="I54" s="668"/>
      <c r="J54" s="668"/>
      <c r="K54" s="669"/>
      <c r="L54" s="669"/>
      <c r="M54" s="472">
        <v>2</v>
      </c>
      <c r="N54" s="447">
        <v>2</v>
      </c>
      <c r="O54" s="447">
        <v>32.1</v>
      </c>
      <c r="P54" s="431">
        <f t="shared" si="0"/>
        <v>16.05</v>
      </c>
      <c r="Q54" s="447">
        <v>50</v>
      </c>
      <c r="R54" s="432">
        <f t="shared" si="1"/>
        <v>48</v>
      </c>
    </row>
    <row r="55" spans="1:18" s="8" customFormat="1" ht="73.5" customHeight="1">
      <c r="A55" s="433"/>
      <c r="B55" s="686" t="s">
        <v>16</v>
      </c>
      <c r="C55" s="686"/>
      <c r="D55" s="686"/>
      <c r="E55" s="686"/>
      <c r="F55" s="686"/>
      <c r="G55" s="686"/>
      <c r="H55" s="675" t="s">
        <v>17</v>
      </c>
      <c r="I55" s="675"/>
      <c r="J55" s="675"/>
      <c r="K55" s="687"/>
      <c r="L55" s="687"/>
      <c r="M55" s="461">
        <f>M56+M57+M58+M59+M60+M61+M62</f>
        <v>402</v>
      </c>
      <c r="N55" s="461">
        <f>N56+N57+N58+N59+N60+N61+N62</f>
        <v>602</v>
      </c>
      <c r="O55" s="461">
        <f>O56+O57+O58+O59+O60+O61+O62</f>
        <v>451.5</v>
      </c>
      <c r="P55" s="431">
        <f t="shared" si="0"/>
        <v>0.75</v>
      </c>
      <c r="Q55" s="461">
        <f>Q56+Q57+Q58+Q59+Q60+Q61+Q62</f>
        <v>930</v>
      </c>
      <c r="R55" s="432">
        <f t="shared" si="1"/>
        <v>328</v>
      </c>
    </row>
    <row r="56" spans="1:18" ht="80.25" customHeight="1">
      <c r="A56" s="439"/>
      <c r="B56" s="439"/>
      <c r="C56" s="439"/>
      <c r="D56" s="439"/>
      <c r="E56" s="666" t="s">
        <v>18</v>
      </c>
      <c r="F56" s="667"/>
      <c r="G56" s="440" t="s">
        <v>341</v>
      </c>
      <c r="H56" s="668" t="s">
        <v>114</v>
      </c>
      <c r="I56" s="668"/>
      <c r="J56" s="668"/>
      <c r="K56" s="669"/>
      <c r="L56" s="669"/>
      <c r="M56" s="447">
        <v>35</v>
      </c>
      <c r="N56" s="447">
        <v>47</v>
      </c>
      <c r="O56" s="447">
        <v>77</v>
      </c>
      <c r="P56" s="431">
        <f t="shared" si="0"/>
        <v>1.6382978723404256</v>
      </c>
      <c r="Q56" s="447">
        <v>100</v>
      </c>
      <c r="R56" s="432">
        <f t="shared" si="1"/>
        <v>53</v>
      </c>
    </row>
    <row r="57" spans="1:18" ht="43.5" customHeight="1" hidden="1">
      <c r="A57" s="439"/>
      <c r="B57" s="439"/>
      <c r="C57" s="439"/>
      <c r="D57" s="439"/>
      <c r="E57" s="666" t="s">
        <v>340</v>
      </c>
      <c r="F57" s="667"/>
      <c r="G57" s="440" t="s">
        <v>66</v>
      </c>
      <c r="H57" s="668" t="s">
        <v>342</v>
      </c>
      <c r="I57" s="668"/>
      <c r="J57" s="668"/>
      <c r="K57" s="669" t="s">
        <v>332</v>
      </c>
      <c r="L57" s="669"/>
      <c r="M57" s="447"/>
      <c r="N57" s="447"/>
      <c r="O57" s="447"/>
      <c r="P57" s="431" t="e">
        <f t="shared" si="0"/>
        <v>#DIV/0!</v>
      </c>
      <c r="Q57" s="447"/>
      <c r="R57" s="432">
        <f t="shared" si="1"/>
        <v>0</v>
      </c>
    </row>
    <row r="58" spans="1:18" ht="77.25" customHeight="1">
      <c r="A58" s="439"/>
      <c r="B58" s="439"/>
      <c r="C58" s="439"/>
      <c r="D58" s="439"/>
      <c r="E58" s="666" t="s">
        <v>19</v>
      </c>
      <c r="F58" s="667"/>
      <c r="G58" s="440" t="s">
        <v>341</v>
      </c>
      <c r="H58" s="668" t="s">
        <v>20</v>
      </c>
      <c r="I58" s="668"/>
      <c r="J58" s="668"/>
      <c r="K58" s="669"/>
      <c r="L58" s="669"/>
      <c r="M58" s="447">
        <v>117</v>
      </c>
      <c r="N58" s="447">
        <v>300</v>
      </c>
      <c r="O58" s="447">
        <v>184.8</v>
      </c>
      <c r="P58" s="431">
        <f t="shared" si="0"/>
        <v>0.616</v>
      </c>
      <c r="Q58" s="447">
        <v>300</v>
      </c>
      <c r="R58" s="432">
        <f t="shared" si="1"/>
        <v>0</v>
      </c>
    </row>
    <row r="59" spans="1:18" ht="29.25" customHeight="1" hidden="1">
      <c r="A59" s="439"/>
      <c r="B59" s="439"/>
      <c r="C59" s="439"/>
      <c r="D59" s="439"/>
      <c r="E59" s="666" t="s">
        <v>436</v>
      </c>
      <c r="F59" s="667"/>
      <c r="G59" s="440" t="s">
        <v>67</v>
      </c>
      <c r="H59" s="668" t="s">
        <v>437</v>
      </c>
      <c r="I59" s="668"/>
      <c r="J59" s="668"/>
      <c r="K59" s="669" t="s">
        <v>332</v>
      </c>
      <c r="L59" s="669"/>
      <c r="M59" s="447"/>
      <c r="N59" s="447"/>
      <c r="O59" s="447"/>
      <c r="P59" s="431" t="e">
        <f t="shared" si="0"/>
        <v>#DIV/0!</v>
      </c>
      <c r="Q59" s="447"/>
      <c r="R59" s="432">
        <f t="shared" si="1"/>
        <v>0</v>
      </c>
    </row>
    <row r="60" spans="1:18" ht="37.5" customHeight="1" hidden="1">
      <c r="A60" s="439"/>
      <c r="B60" s="439"/>
      <c r="C60" s="439"/>
      <c r="D60" s="439"/>
      <c r="E60" s="666" t="s">
        <v>436</v>
      </c>
      <c r="F60" s="667"/>
      <c r="G60" s="440">
        <v>188</v>
      </c>
      <c r="H60" s="668" t="s">
        <v>437</v>
      </c>
      <c r="I60" s="668"/>
      <c r="J60" s="668"/>
      <c r="K60" s="669" t="s">
        <v>332</v>
      </c>
      <c r="L60" s="669"/>
      <c r="M60" s="447"/>
      <c r="N60" s="447"/>
      <c r="O60" s="447"/>
      <c r="P60" s="431" t="e">
        <f t="shared" si="0"/>
        <v>#DIV/0!</v>
      </c>
      <c r="Q60" s="447"/>
      <c r="R60" s="432">
        <f t="shared" si="1"/>
        <v>0</v>
      </c>
    </row>
    <row r="61" spans="1:18" ht="43.5" customHeight="1">
      <c r="A61" s="439"/>
      <c r="B61" s="439"/>
      <c r="C61" s="439"/>
      <c r="D61" s="439"/>
      <c r="E61" s="666" t="s">
        <v>21</v>
      </c>
      <c r="F61" s="667"/>
      <c r="G61" s="440" t="s">
        <v>341</v>
      </c>
      <c r="H61" s="668" t="s">
        <v>22</v>
      </c>
      <c r="I61" s="668"/>
      <c r="J61" s="668"/>
      <c r="K61" s="669"/>
      <c r="L61" s="669"/>
      <c r="M61" s="447">
        <v>100</v>
      </c>
      <c r="N61" s="447">
        <v>230</v>
      </c>
      <c r="O61" s="447">
        <v>92.5</v>
      </c>
      <c r="P61" s="431">
        <f t="shared" si="0"/>
        <v>0.40217391304347827</v>
      </c>
      <c r="Q61" s="447">
        <v>230</v>
      </c>
      <c r="R61" s="432">
        <f t="shared" si="1"/>
        <v>0</v>
      </c>
    </row>
    <row r="62" spans="1:18" ht="45.75" customHeight="1">
      <c r="A62" s="439"/>
      <c r="B62" s="439"/>
      <c r="C62" s="439"/>
      <c r="D62" s="439"/>
      <c r="E62" s="666" t="s">
        <v>24</v>
      </c>
      <c r="F62" s="667"/>
      <c r="G62" s="440" t="s">
        <v>255</v>
      </c>
      <c r="H62" s="668" t="s">
        <v>23</v>
      </c>
      <c r="I62" s="668"/>
      <c r="J62" s="668"/>
      <c r="K62" s="669"/>
      <c r="L62" s="669"/>
      <c r="M62" s="447">
        <v>150</v>
      </c>
      <c r="N62" s="447">
        <v>25</v>
      </c>
      <c r="O62" s="447">
        <v>97.2</v>
      </c>
      <c r="P62" s="431">
        <f t="shared" si="0"/>
        <v>3.888</v>
      </c>
      <c r="Q62" s="447">
        <v>300</v>
      </c>
      <c r="R62" s="432">
        <f t="shared" si="1"/>
        <v>275</v>
      </c>
    </row>
    <row r="63" spans="1:18" s="8" customFormat="1" ht="65.25" customHeight="1">
      <c r="A63" s="433"/>
      <c r="B63" s="686" t="s">
        <v>931</v>
      </c>
      <c r="C63" s="686"/>
      <c r="D63" s="686"/>
      <c r="E63" s="686"/>
      <c r="F63" s="686"/>
      <c r="G63" s="686"/>
      <c r="H63" s="675" t="s">
        <v>34</v>
      </c>
      <c r="I63" s="675"/>
      <c r="J63" s="675"/>
      <c r="K63" s="687"/>
      <c r="L63" s="687"/>
      <c r="M63" s="459">
        <v>5</v>
      </c>
      <c r="N63" s="459">
        <v>450</v>
      </c>
      <c r="O63" s="459">
        <v>86.5</v>
      </c>
      <c r="P63" s="431">
        <f t="shared" si="0"/>
        <v>0.1922222222222222</v>
      </c>
      <c r="Q63" s="459">
        <v>450</v>
      </c>
      <c r="R63" s="432">
        <f t="shared" si="1"/>
        <v>0</v>
      </c>
    </row>
    <row r="64" spans="1:18" s="8" customFormat="1" ht="43.5" customHeight="1">
      <c r="A64" s="433"/>
      <c r="B64" s="686" t="s">
        <v>932</v>
      </c>
      <c r="C64" s="686"/>
      <c r="D64" s="686"/>
      <c r="E64" s="686"/>
      <c r="F64" s="686"/>
      <c r="G64" s="686"/>
      <c r="H64" s="675" t="s">
        <v>25</v>
      </c>
      <c r="I64" s="675"/>
      <c r="J64" s="675"/>
      <c r="K64" s="687"/>
      <c r="L64" s="687"/>
      <c r="M64" s="459">
        <v>178.29</v>
      </c>
      <c r="N64" s="459"/>
      <c r="O64" s="459">
        <v>1.8</v>
      </c>
      <c r="P64" s="431" t="e">
        <f t="shared" si="0"/>
        <v>#DIV/0!</v>
      </c>
      <c r="Q64" s="459">
        <v>2</v>
      </c>
      <c r="R64" s="432">
        <f t="shared" si="1"/>
        <v>2</v>
      </c>
    </row>
    <row r="65" spans="1:18" ht="78" customHeight="1">
      <c r="A65" s="439"/>
      <c r="B65" s="439"/>
      <c r="C65" s="439"/>
      <c r="D65" s="439"/>
      <c r="E65" s="666" t="s">
        <v>27</v>
      </c>
      <c r="F65" s="667"/>
      <c r="G65" s="440" t="s">
        <v>256</v>
      </c>
      <c r="H65" s="668" t="s">
        <v>28</v>
      </c>
      <c r="I65" s="668"/>
      <c r="J65" s="668"/>
      <c r="K65" s="669"/>
      <c r="L65" s="669"/>
      <c r="M65" s="447">
        <v>5</v>
      </c>
      <c r="N65" s="447">
        <v>60</v>
      </c>
      <c r="O65" s="447">
        <v>0</v>
      </c>
      <c r="P65" s="431">
        <f t="shared" si="0"/>
        <v>0</v>
      </c>
      <c r="Q65" s="447">
        <v>60</v>
      </c>
      <c r="R65" s="432">
        <f t="shared" si="1"/>
        <v>0</v>
      </c>
    </row>
    <row r="66" spans="1:18" s="8" customFormat="1" ht="71.25" customHeight="1">
      <c r="A66" s="433"/>
      <c r="B66" s="686" t="s">
        <v>26</v>
      </c>
      <c r="C66" s="686"/>
      <c r="D66" s="686"/>
      <c r="E66" s="686"/>
      <c r="F66" s="686"/>
      <c r="G66" s="686"/>
      <c r="H66" s="675" t="s">
        <v>25</v>
      </c>
      <c r="I66" s="675"/>
      <c r="J66" s="675"/>
      <c r="K66" s="687"/>
      <c r="L66" s="687"/>
      <c r="M66" s="459">
        <f>M67</f>
        <v>50</v>
      </c>
      <c r="N66" s="459">
        <f>N67</f>
        <v>60</v>
      </c>
      <c r="O66" s="459">
        <f>O67</f>
        <v>0</v>
      </c>
      <c r="P66" s="431">
        <f t="shared" si="0"/>
        <v>0</v>
      </c>
      <c r="Q66" s="459">
        <f>Q67</f>
        <v>60</v>
      </c>
      <c r="R66" s="432">
        <f t="shared" si="1"/>
        <v>0</v>
      </c>
    </row>
    <row r="67" spans="1:18" ht="75" customHeight="1">
      <c r="A67" s="439"/>
      <c r="B67" s="439"/>
      <c r="C67" s="439"/>
      <c r="D67" s="439"/>
      <c r="E67" s="666" t="s">
        <v>27</v>
      </c>
      <c r="F67" s="667"/>
      <c r="G67" s="440" t="s">
        <v>256</v>
      </c>
      <c r="H67" s="668" t="s">
        <v>28</v>
      </c>
      <c r="I67" s="668"/>
      <c r="J67" s="668"/>
      <c r="K67" s="669"/>
      <c r="L67" s="669"/>
      <c r="M67" s="447">
        <v>50</v>
      </c>
      <c r="N67" s="447">
        <v>60</v>
      </c>
      <c r="O67" s="447">
        <v>0</v>
      </c>
      <c r="P67" s="431">
        <f t="shared" si="0"/>
        <v>0</v>
      </c>
      <c r="Q67" s="447">
        <v>60</v>
      </c>
      <c r="R67" s="432">
        <f t="shared" si="1"/>
        <v>0</v>
      </c>
    </row>
    <row r="68" spans="1:18" s="8" customFormat="1" ht="50.25" customHeight="1">
      <c r="A68" s="433"/>
      <c r="B68" s="686" t="s">
        <v>933</v>
      </c>
      <c r="C68" s="686"/>
      <c r="D68" s="686"/>
      <c r="E68" s="686"/>
      <c r="F68" s="686"/>
      <c r="G68" s="686"/>
      <c r="H68" s="675" t="s">
        <v>934</v>
      </c>
      <c r="I68" s="675"/>
      <c r="J68" s="675"/>
      <c r="K68" s="687"/>
      <c r="L68" s="687"/>
      <c r="M68" s="459"/>
      <c r="N68" s="459"/>
      <c r="O68" s="459">
        <v>42.5</v>
      </c>
      <c r="P68" s="431" t="e">
        <f t="shared" si="0"/>
        <v>#DIV/0!</v>
      </c>
      <c r="Q68" s="459">
        <v>50</v>
      </c>
      <c r="R68" s="432">
        <f t="shared" si="1"/>
        <v>50</v>
      </c>
    </row>
    <row r="69" spans="1:18" s="8" customFormat="1" ht="54" customHeight="1">
      <c r="A69" s="433"/>
      <c r="B69" s="686" t="s">
        <v>29</v>
      </c>
      <c r="C69" s="686"/>
      <c r="D69" s="686"/>
      <c r="E69" s="686"/>
      <c r="F69" s="686"/>
      <c r="G69" s="686"/>
      <c r="H69" s="675" t="s">
        <v>30</v>
      </c>
      <c r="I69" s="675"/>
      <c r="J69" s="675"/>
      <c r="K69" s="687"/>
      <c r="L69" s="687"/>
      <c r="M69" s="459">
        <v>2649.29</v>
      </c>
      <c r="N69" s="459">
        <v>2011</v>
      </c>
      <c r="O69" s="459">
        <v>1081</v>
      </c>
      <c r="P69" s="431">
        <f t="shared" si="0"/>
        <v>0.5375435106911984</v>
      </c>
      <c r="Q69" s="459">
        <v>2011</v>
      </c>
      <c r="R69" s="432">
        <f t="shared" si="1"/>
        <v>0</v>
      </c>
    </row>
    <row r="70" spans="1:18" ht="42" customHeight="1" hidden="1">
      <c r="A70" s="439"/>
      <c r="B70" s="439"/>
      <c r="C70" s="439"/>
      <c r="D70" s="439"/>
      <c r="E70" s="666" t="s">
        <v>257</v>
      </c>
      <c r="F70" s="667"/>
      <c r="G70" s="440" t="s">
        <v>68</v>
      </c>
      <c r="H70" s="668" t="s">
        <v>258</v>
      </c>
      <c r="I70" s="668"/>
      <c r="J70" s="668"/>
      <c r="K70" s="669" t="s">
        <v>332</v>
      </c>
      <c r="L70" s="669"/>
      <c r="M70" s="447">
        <v>70</v>
      </c>
      <c r="N70" s="447">
        <v>70</v>
      </c>
      <c r="O70" s="447">
        <v>70</v>
      </c>
      <c r="P70" s="431">
        <f t="shared" si="0"/>
        <v>1</v>
      </c>
      <c r="Q70" s="447">
        <v>70</v>
      </c>
      <c r="R70" s="432">
        <f t="shared" si="1"/>
        <v>0</v>
      </c>
    </row>
    <row r="71" spans="1:18" ht="27" customHeight="1" hidden="1">
      <c r="A71" s="439"/>
      <c r="B71" s="439"/>
      <c r="C71" s="439"/>
      <c r="D71" s="439"/>
      <c r="E71" s="666" t="s">
        <v>257</v>
      </c>
      <c r="F71" s="667"/>
      <c r="G71" s="440">
        <v>106</v>
      </c>
      <c r="H71" s="668" t="s">
        <v>258</v>
      </c>
      <c r="I71" s="668"/>
      <c r="J71" s="668"/>
      <c r="K71" s="669" t="s">
        <v>332</v>
      </c>
      <c r="L71" s="669"/>
      <c r="M71" s="447"/>
      <c r="N71" s="447"/>
      <c r="O71" s="447"/>
      <c r="P71" s="431" t="e">
        <f t="shared" si="0"/>
        <v>#DIV/0!</v>
      </c>
      <c r="Q71" s="447"/>
      <c r="R71" s="432">
        <f t="shared" si="1"/>
        <v>0</v>
      </c>
    </row>
    <row r="72" spans="1:18" ht="27" customHeight="1" hidden="1">
      <c r="A72" s="439"/>
      <c r="B72" s="439"/>
      <c r="C72" s="439"/>
      <c r="D72" s="439"/>
      <c r="E72" s="666" t="s">
        <v>257</v>
      </c>
      <c r="F72" s="667"/>
      <c r="G72" s="440" t="s">
        <v>68</v>
      </c>
      <c r="H72" s="668" t="s">
        <v>258</v>
      </c>
      <c r="I72" s="668"/>
      <c r="J72" s="668"/>
      <c r="K72" s="669" t="s">
        <v>332</v>
      </c>
      <c r="L72" s="669"/>
      <c r="M72" s="447"/>
      <c r="N72" s="447"/>
      <c r="O72" s="447"/>
      <c r="P72" s="431" t="e">
        <f t="shared" si="0"/>
        <v>#DIV/0!</v>
      </c>
      <c r="Q72" s="447"/>
      <c r="R72" s="432">
        <f t="shared" si="1"/>
        <v>0</v>
      </c>
    </row>
    <row r="73" spans="1:18" ht="39.75" customHeight="1" hidden="1">
      <c r="A73" s="439"/>
      <c r="B73" s="439"/>
      <c r="C73" s="439"/>
      <c r="D73" s="439"/>
      <c r="E73" s="666" t="s">
        <v>257</v>
      </c>
      <c r="F73" s="667"/>
      <c r="G73" s="440">
        <v>182</v>
      </c>
      <c r="H73" s="668" t="s">
        <v>258</v>
      </c>
      <c r="I73" s="668"/>
      <c r="J73" s="668"/>
      <c r="K73" s="669" t="s">
        <v>332</v>
      </c>
      <c r="L73" s="669"/>
      <c r="M73" s="447"/>
      <c r="N73" s="447"/>
      <c r="O73" s="447"/>
      <c r="P73" s="431" t="e">
        <f t="shared" si="0"/>
        <v>#DIV/0!</v>
      </c>
      <c r="Q73" s="447"/>
      <c r="R73" s="432">
        <f t="shared" si="1"/>
        <v>0</v>
      </c>
    </row>
    <row r="74" spans="1:18" ht="33.75" customHeight="1" hidden="1">
      <c r="A74" s="439"/>
      <c r="B74" s="439"/>
      <c r="C74" s="439"/>
      <c r="D74" s="439"/>
      <c r="E74" s="666" t="s">
        <v>257</v>
      </c>
      <c r="F74" s="667"/>
      <c r="G74" s="440">
        <v>188</v>
      </c>
      <c r="H74" s="668" t="s">
        <v>258</v>
      </c>
      <c r="I74" s="668"/>
      <c r="J74" s="668"/>
      <c r="K74" s="669" t="s">
        <v>332</v>
      </c>
      <c r="L74" s="669"/>
      <c r="M74" s="447"/>
      <c r="N74" s="447"/>
      <c r="O74" s="447"/>
      <c r="P74" s="431" t="e">
        <f t="shared" si="0"/>
        <v>#DIV/0!</v>
      </c>
      <c r="Q74" s="447"/>
      <c r="R74" s="432">
        <f t="shared" si="1"/>
        <v>0</v>
      </c>
    </row>
    <row r="75" spans="1:18" ht="33.75" customHeight="1" hidden="1">
      <c r="A75" s="439"/>
      <c r="B75" s="439"/>
      <c r="C75" s="439"/>
      <c r="D75" s="439"/>
      <c r="E75" s="666" t="s">
        <v>257</v>
      </c>
      <c r="F75" s="667"/>
      <c r="G75" s="440">
        <v>192</v>
      </c>
      <c r="H75" s="668" t="s">
        <v>258</v>
      </c>
      <c r="I75" s="668"/>
      <c r="J75" s="668"/>
      <c r="K75" s="669" t="s">
        <v>332</v>
      </c>
      <c r="L75" s="669"/>
      <c r="M75" s="447"/>
      <c r="N75" s="447"/>
      <c r="O75" s="447"/>
      <c r="P75" s="431" t="e">
        <f t="shared" si="0"/>
        <v>#DIV/0!</v>
      </c>
      <c r="Q75" s="447"/>
      <c r="R75" s="432">
        <f t="shared" si="1"/>
        <v>0</v>
      </c>
    </row>
    <row r="76" spans="1:18" ht="33.75" customHeight="1" hidden="1">
      <c r="A76" s="439"/>
      <c r="B76" s="439"/>
      <c r="C76" s="439"/>
      <c r="D76" s="439"/>
      <c r="E76" s="666" t="s">
        <v>257</v>
      </c>
      <c r="F76" s="667"/>
      <c r="G76" s="440" t="s">
        <v>67</v>
      </c>
      <c r="H76" s="668" t="s">
        <v>258</v>
      </c>
      <c r="I76" s="668"/>
      <c r="J76" s="668"/>
      <c r="K76" s="669" t="s">
        <v>332</v>
      </c>
      <c r="L76" s="669"/>
      <c r="M76" s="447"/>
      <c r="N76" s="447"/>
      <c r="O76" s="447"/>
      <c r="P76" s="431" t="e">
        <f t="shared" si="0"/>
        <v>#DIV/0!</v>
      </c>
      <c r="Q76" s="447"/>
      <c r="R76" s="432">
        <f t="shared" si="1"/>
        <v>0</v>
      </c>
    </row>
    <row r="77" spans="1:18" ht="33.75" customHeight="1" hidden="1">
      <c r="A77" s="439"/>
      <c r="B77" s="439"/>
      <c r="C77" s="439"/>
      <c r="D77" s="439"/>
      <c r="E77" s="666" t="s">
        <v>257</v>
      </c>
      <c r="F77" s="667"/>
      <c r="G77" s="440">
        <v>300</v>
      </c>
      <c r="H77" s="668" t="s">
        <v>258</v>
      </c>
      <c r="I77" s="668"/>
      <c r="J77" s="668"/>
      <c r="K77" s="669" t="s">
        <v>332</v>
      </c>
      <c r="L77" s="669"/>
      <c r="M77" s="447"/>
      <c r="N77" s="447"/>
      <c r="O77" s="447"/>
      <c r="P77" s="431" t="e">
        <f t="shared" si="0"/>
        <v>#DIV/0!</v>
      </c>
      <c r="Q77" s="447"/>
      <c r="R77" s="432">
        <f t="shared" si="1"/>
        <v>0</v>
      </c>
    </row>
    <row r="78" spans="1:18" ht="42" customHeight="1" hidden="1">
      <c r="A78" s="439"/>
      <c r="B78" s="439"/>
      <c r="C78" s="439"/>
      <c r="D78" s="439"/>
      <c r="E78" s="666" t="s">
        <v>320</v>
      </c>
      <c r="F78" s="667"/>
      <c r="G78" s="454">
        <v>177</v>
      </c>
      <c r="H78" s="684" t="s">
        <v>258</v>
      </c>
      <c r="I78" s="684"/>
      <c r="J78" s="684"/>
      <c r="K78" s="685" t="s">
        <v>332</v>
      </c>
      <c r="L78" s="685"/>
      <c r="M78" s="447"/>
      <c r="N78" s="447"/>
      <c r="O78" s="447"/>
      <c r="P78" s="431" t="e">
        <f aca="true" t="shared" si="3" ref="P78:P83">O78/N78</f>
        <v>#DIV/0!</v>
      </c>
      <c r="Q78" s="447"/>
      <c r="R78" s="432">
        <f aca="true" t="shared" si="4" ref="R78:R95">Q78-N78</f>
        <v>0</v>
      </c>
    </row>
    <row r="79" spans="1:18" ht="42" customHeight="1" hidden="1">
      <c r="A79" s="439"/>
      <c r="B79" s="439"/>
      <c r="C79" s="439"/>
      <c r="D79" s="439"/>
      <c r="E79" s="666" t="s">
        <v>69</v>
      </c>
      <c r="F79" s="667"/>
      <c r="G79" s="454">
        <v>885</v>
      </c>
      <c r="H79" s="684" t="s">
        <v>258</v>
      </c>
      <c r="I79" s="684"/>
      <c r="J79" s="684"/>
      <c r="K79" s="685" t="s">
        <v>332</v>
      </c>
      <c r="L79" s="685"/>
      <c r="M79" s="447"/>
      <c r="N79" s="447"/>
      <c r="O79" s="447"/>
      <c r="P79" s="431" t="e">
        <f t="shared" si="3"/>
        <v>#DIV/0!</v>
      </c>
      <c r="Q79" s="447"/>
      <c r="R79" s="432">
        <f t="shared" si="4"/>
        <v>0</v>
      </c>
    </row>
    <row r="80" spans="1:18" ht="42" customHeight="1" hidden="1">
      <c r="A80" s="439"/>
      <c r="B80" s="439"/>
      <c r="C80" s="439"/>
      <c r="D80" s="439"/>
      <c r="E80" s="666" t="s">
        <v>69</v>
      </c>
      <c r="F80" s="667"/>
      <c r="G80" s="454">
        <v>891</v>
      </c>
      <c r="H80" s="684" t="s">
        <v>258</v>
      </c>
      <c r="I80" s="684"/>
      <c r="J80" s="684"/>
      <c r="K80" s="685" t="s">
        <v>332</v>
      </c>
      <c r="L80" s="685"/>
      <c r="M80" s="447"/>
      <c r="N80" s="447"/>
      <c r="O80" s="447"/>
      <c r="P80" s="431" t="e">
        <f t="shared" si="3"/>
        <v>#DIV/0!</v>
      </c>
      <c r="Q80" s="447"/>
      <c r="R80" s="432">
        <f t="shared" si="4"/>
        <v>0</v>
      </c>
    </row>
    <row r="81" spans="1:18" ht="80.25" customHeight="1">
      <c r="A81" s="439"/>
      <c r="B81" s="439"/>
      <c r="C81" s="439"/>
      <c r="D81" s="439"/>
      <c r="E81" s="666" t="s">
        <v>31</v>
      </c>
      <c r="F81" s="667"/>
      <c r="G81" s="440" t="s">
        <v>234</v>
      </c>
      <c r="H81" s="668" t="s">
        <v>32</v>
      </c>
      <c r="I81" s="668"/>
      <c r="J81" s="668"/>
      <c r="K81" s="669"/>
      <c r="L81" s="669"/>
      <c r="M81" s="447">
        <v>45</v>
      </c>
      <c r="N81" s="447">
        <v>45</v>
      </c>
      <c r="O81" s="447"/>
      <c r="P81" s="431">
        <f t="shared" si="3"/>
        <v>0</v>
      </c>
      <c r="Q81" s="447">
        <v>45</v>
      </c>
      <c r="R81" s="432">
        <f t="shared" si="4"/>
        <v>0</v>
      </c>
    </row>
    <row r="82" spans="1:18" ht="77.25" customHeight="1">
      <c r="A82" s="439"/>
      <c r="B82" s="439"/>
      <c r="C82" s="439"/>
      <c r="D82" s="439"/>
      <c r="E82" s="666" t="s">
        <v>33</v>
      </c>
      <c r="F82" s="667"/>
      <c r="G82" s="440" t="s">
        <v>260</v>
      </c>
      <c r="H82" s="668" t="s">
        <v>34</v>
      </c>
      <c r="I82" s="668"/>
      <c r="J82" s="668"/>
      <c r="K82" s="669"/>
      <c r="L82" s="669"/>
      <c r="M82" s="447">
        <v>350</v>
      </c>
      <c r="N82" s="447">
        <v>450</v>
      </c>
      <c r="O82" s="447">
        <v>86.5</v>
      </c>
      <c r="P82" s="431">
        <f t="shared" si="3"/>
        <v>0.1922222222222222</v>
      </c>
      <c r="Q82" s="447">
        <v>450</v>
      </c>
      <c r="R82" s="432">
        <f t="shared" si="4"/>
        <v>0</v>
      </c>
    </row>
    <row r="83" spans="1:18" ht="96" customHeight="1">
      <c r="A83" s="439"/>
      <c r="B83" s="439"/>
      <c r="C83" s="439"/>
      <c r="D83" s="439"/>
      <c r="E83" s="666" t="s">
        <v>35</v>
      </c>
      <c r="F83" s="667"/>
      <c r="G83" s="440" t="s">
        <v>67</v>
      </c>
      <c r="H83" s="668" t="s">
        <v>36</v>
      </c>
      <c r="I83" s="668"/>
      <c r="J83" s="668"/>
      <c r="K83" s="669"/>
      <c r="L83" s="669"/>
      <c r="M83" s="447">
        <v>160</v>
      </c>
      <c r="N83" s="447">
        <v>160</v>
      </c>
      <c r="O83" s="447">
        <f>151.9+20.1</f>
        <v>172</v>
      </c>
      <c r="P83" s="431">
        <f t="shared" si="3"/>
        <v>1.075</v>
      </c>
      <c r="Q83" s="447">
        <v>300</v>
      </c>
      <c r="R83" s="432">
        <f t="shared" si="4"/>
        <v>140</v>
      </c>
    </row>
    <row r="84" spans="1:18" ht="46.5" customHeight="1" hidden="1">
      <c r="A84" s="439"/>
      <c r="B84" s="439"/>
      <c r="C84" s="439"/>
      <c r="D84" s="439"/>
      <c r="E84" s="666" t="s">
        <v>320</v>
      </c>
      <c r="F84" s="667"/>
      <c r="G84" s="440">
        <v>188</v>
      </c>
      <c r="H84" s="668">
        <v>11643000010000</v>
      </c>
      <c r="I84" s="668"/>
      <c r="J84" s="668"/>
      <c r="K84" s="669" t="s">
        <v>332</v>
      </c>
      <c r="L84" s="669"/>
      <c r="M84" s="447"/>
      <c r="N84" s="447"/>
      <c r="O84" s="136"/>
      <c r="P84" s="431" t="e">
        <f>O84/N84</f>
        <v>#DIV/0!</v>
      </c>
      <c r="Q84" s="438"/>
      <c r="R84" s="432">
        <f t="shared" si="4"/>
        <v>0</v>
      </c>
    </row>
    <row r="85" spans="1:18" ht="46.5" customHeight="1" hidden="1">
      <c r="A85" s="439"/>
      <c r="B85" s="439"/>
      <c r="C85" s="439"/>
      <c r="D85" s="439"/>
      <c r="E85" s="666" t="s">
        <v>259</v>
      </c>
      <c r="F85" s="667"/>
      <c r="G85" s="440">
        <v>188</v>
      </c>
      <c r="H85" s="668">
        <v>11630030016000</v>
      </c>
      <c r="I85" s="668"/>
      <c r="J85" s="668"/>
      <c r="K85" s="669" t="s">
        <v>332</v>
      </c>
      <c r="L85" s="669"/>
      <c r="M85" s="447"/>
      <c r="N85" s="447"/>
      <c r="O85" s="135"/>
      <c r="P85" s="431" t="e">
        <f aca="true" t="shared" si="5" ref="P85:P95">O85/N85</f>
        <v>#DIV/0!</v>
      </c>
      <c r="Q85" s="438"/>
      <c r="R85" s="432">
        <f t="shared" si="4"/>
        <v>0</v>
      </c>
    </row>
    <row r="86" spans="1:18" ht="46.5" customHeight="1" hidden="1">
      <c r="A86" s="439"/>
      <c r="B86" s="439"/>
      <c r="C86" s="439"/>
      <c r="D86" s="439"/>
      <c r="E86" s="666" t="s">
        <v>259</v>
      </c>
      <c r="F86" s="667"/>
      <c r="G86" s="440">
        <v>321</v>
      </c>
      <c r="H86" s="668">
        <v>11625060016000</v>
      </c>
      <c r="I86" s="668"/>
      <c r="J86" s="668"/>
      <c r="K86" s="680">
        <v>140</v>
      </c>
      <c r="L86" s="681"/>
      <c r="M86" s="447"/>
      <c r="N86" s="447"/>
      <c r="O86" s="135"/>
      <c r="P86" s="431" t="e">
        <f t="shared" si="5"/>
        <v>#DIV/0!</v>
      </c>
      <c r="Q86" s="438"/>
      <c r="R86" s="432">
        <f t="shared" si="4"/>
        <v>0</v>
      </c>
    </row>
    <row r="87" spans="1:18" ht="42" customHeight="1" hidden="1">
      <c r="A87" s="439"/>
      <c r="B87" s="439"/>
      <c r="C87" s="439"/>
      <c r="D87" s="439"/>
      <c r="E87" s="666"/>
      <c r="F87" s="667"/>
      <c r="G87" s="462"/>
      <c r="H87" s="682"/>
      <c r="I87" s="682"/>
      <c r="J87" s="682"/>
      <c r="K87" s="683"/>
      <c r="L87" s="683"/>
      <c r="M87" s="463"/>
      <c r="N87" s="463"/>
      <c r="O87" s="463"/>
      <c r="P87" s="431" t="e">
        <f t="shared" si="5"/>
        <v>#DIV/0!</v>
      </c>
      <c r="Q87" s="438"/>
      <c r="R87" s="432">
        <f t="shared" si="4"/>
        <v>0</v>
      </c>
    </row>
    <row r="88" spans="1:18" ht="42" customHeight="1" hidden="1">
      <c r="A88" s="439"/>
      <c r="B88" s="439"/>
      <c r="C88" s="439"/>
      <c r="D88" s="439"/>
      <c r="E88" s="673" t="s">
        <v>513</v>
      </c>
      <c r="F88" s="674"/>
      <c r="G88" s="440"/>
      <c r="H88" s="675">
        <v>11700000000000</v>
      </c>
      <c r="I88" s="675"/>
      <c r="J88" s="675"/>
      <c r="K88" s="441"/>
      <c r="L88" s="441"/>
      <c r="M88" s="135"/>
      <c r="N88" s="135"/>
      <c r="O88" s="135"/>
      <c r="P88" s="431" t="e">
        <f t="shared" si="5"/>
        <v>#DIV/0!</v>
      </c>
      <c r="Q88" s="438"/>
      <c r="R88" s="432">
        <f t="shared" si="4"/>
        <v>0</v>
      </c>
    </row>
    <row r="89" spans="1:18" ht="27" customHeight="1">
      <c r="A89" s="464"/>
      <c r="B89" s="464"/>
      <c r="C89" s="464"/>
      <c r="D89" s="464"/>
      <c r="E89" s="676" t="s">
        <v>375</v>
      </c>
      <c r="F89" s="677"/>
      <c r="G89" s="428"/>
      <c r="H89" s="678"/>
      <c r="I89" s="678"/>
      <c r="J89" s="678"/>
      <c r="K89" s="679"/>
      <c r="L89" s="679"/>
      <c r="M89" s="465">
        <f>M13+M21+M28+M33+M39+M43+M48+M41+M31+M88+M19</f>
        <v>177264.16999999995</v>
      </c>
      <c r="N89" s="465">
        <f>N13+N21+N28+N33+N39+N43+N48+N41+N31+N88+N19</f>
        <v>250020.57</v>
      </c>
      <c r="O89" s="465">
        <f>O13+O21+O28+O33+O39+O43+O48+O41+O31+O88+O19</f>
        <v>97806.99999999999</v>
      </c>
      <c r="P89" s="431">
        <f t="shared" si="5"/>
        <v>0.39119581240855494</v>
      </c>
      <c r="Q89" s="465">
        <f>Q13+Q21+Q28+Q33+Q39+Q43+Q48+Q41+Q31+Q88+Q19</f>
        <v>203454.57</v>
      </c>
      <c r="R89" s="432">
        <f t="shared" si="4"/>
        <v>-46566</v>
      </c>
    </row>
    <row r="90" spans="1:18" s="8" customFormat="1" ht="29.25" customHeight="1">
      <c r="A90" s="466"/>
      <c r="B90" s="670" t="s">
        <v>448</v>
      </c>
      <c r="C90" s="670"/>
      <c r="D90" s="670"/>
      <c r="E90" s="670"/>
      <c r="F90" s="670"/>
      <c r="G90" s="670"/>
      <c r="H90" s="671" t="s">
        <v>39</v>
      </c>
      <c r="I90" s="671"/>
      <c r="J90" s="671"/>
      <c r="K90" s="672"/>
      <c r="L90" s="672"/>
      <c r="M90" s="467">
        <f>M91+M93</f>
        <v>60562.54</v>
      </c>
      <c r="N90" s="467">
        <f>N91+N93</f>
        <v>56482.5</v>
      </c>
      <c r="O90" s="467">
        <f>O91+O93</f>
        <v>28241.4</v>
      </c>
      <c r="P90" s="431">
        <f t="shared" si="5"/>
        <v>0.5000026556898155</v>
      </c>
      <c r="Q90" s="467">
        <f>Q91+Q93</f>
        <v>54539.5</v>
      </c>
      <c r="R90" s="432">
        <f t="shared" si="4"/>
        <v>-1943</v>
      </c>
    </row>
    <row r="91" spans="1:18" s="5" customFormat="1" ht="33.75" customHeight="1">
      <c r="A91" s="426"/>
      <c r="B91" s="426"/>
      <c r="C91" s="663" t="s">
        <v>149</v>
      </c>
      <c r="D91" s="663"/>
      <c r="E91" s="663"/>
      <c r="F91" s="663"/>
      <c r="G91" s="663"/>
      <c r="H91" s="664" t="s">
        <v>40</v>
      </c>
      <c r="I91" s="664"/>
      <c r="J91" s="664"/>
      <c r="K91" s="665"/>
      <c r="L91" s="665"/>
      <c r="M91" s="457">
        <f>M92</f>
        <v>49923</v>
      </c>
      <c r="N91" s="457">
        <f>N92</f>
        <v>43112.1</v>
      </c>
      <c r="O91" s="457">
        <f>O92</f>
        <v>21556.2</v>
      </c>
      <c r="P91" s="431">
        <f t="shared" si="5"/>
        <v>0.5000034793016346</v>
      </c>
      <c r="Q91" s="468">
        <f>Q92</f>
        <v>41169.1</v>
      </c>
      <c r="R91" s="432">
        <f t="shared" si="4"/>
        <v>-1943</v>
      </c>
    </row>
    <row r="92" spans="1:18" ht="27.75" customHeight="1">
      <c r="A92" s="439"/>
      <c r="B92" s="439"/>
      <c r="C92" s="439"/>
      <c r="D92" s="439"/>
      <c r="E92" s="666" t="s">
        <v>419</v>
      </c>
      <c r="F92" s="667"/>
      <c r="G92" s="440" t="s">
        <v>514</v>
      </c>
      <c r="H92" s="668" t="s">
        <v>41</v>
      </c>
      <c r="I92" s="668"/>
      <c r="J92" s="668"/>
      <c r="K92" s="669"/>
      <c r="L92" s="669"/>
      <c r="M92" s="354">
        <v>49923</v>
      </c>
      <c r="N92" s="354">
        <v>43112.1</v>
      </c>
      <c r="O92" s="354">
        <v>21556.2</v>
      </c>
      <c r="P92" s="431">
        <f t="shared" si="5"/>
        <v>0.5000034793016346</v>
      </c>
      <c r="Q92" s="468">
        <v>41169.1</v>
      </c>
      <c r="R92" s="432">
        <f t="shared" si="4"/>
        <v>-1943</v>
      </c>
    </row>
    <row r="93" spans="1:18" s="5" customFormat="1" ht="43.5" customHeight="1">
      <c r="A93" s="426"/>
      <c r="B93" s="426"/>
      <c r="C93" s="663" t="s">
        <v>147</v>
      </c>
      <c r="D93" s="663"/>
      <c r="E93" s="663"/>
      <c r="F93" s="663"/>
      <c r="G93" s="663"/>
      <c r="H93" s="664" t="s">
        <v>45</v>
      </c>
      <c r="I93" s="664"/>
      <c r="J93" s="664"/>
      <c r="K93" s="665"/>
      <c r="L93" s="665"/>
      <c r="M93" s="354">
        <v>10639.54</v>
      </c>
      <c r="N93" s="354">
        <v>13370.4</v>
      </c>
      <c r="O93" s="354">
        <v>6685.2</v>
      </c>
      <c r="P93" s="431">
        <f t="shared" si="5"/>
        <v>0.5</v>
      </c>
      <c r="Q93" s="376">
        <v>13370.4</v>
      </c>
      <c r="R93" s="432">
        <f t="shared" si="4"/>
        <v>0</v>
      </c>
    </row>
    <row r="94" spans="1:18" ht="36" customHeight="1">
      <c r="A94" s="439"/>
      <c r="B94" s="439"/>
      <c r="C94" s="439"/>
      <c r="D94" s="439"/>
      <c r="E94" s="658" t="s">
        <v>929</v>
      </c>
      <c r="F94" s="659"/>
      <c r="G94" s="440"/>
      <c r="H94" s="660"/>
      <c r="I94" s="661"/>
      <c r="J94" s="662"/>
      <c r="K94" s="441"/>
      <c r="L94" s="441"/>
      <c r="M94" s="136"/>
      <c r="N94" s="136"/>
      <c r="O94" s="136">
        <v>1000</v>
      </c>
      <c r="P94" s="431" t="e">
        <f t="shared" si="5"/>
        <v>#DIV/0!</v>
      </c>
      <c r="Q94" s="438">
        <v>1000</v>
      </c>
      <c r="R94" s="432">
        <f t="shared" si="4"/>
        <v>1000</v>
      </c>
    </row>
    <row r="95" spans="1:18" s="2" customFormat="1" ht="34.5" customHeight="1">
      <c r="A95" s="426"/>
      <c r="B95" s="426"/>
      <c r="C95" s="426"/>
      <c r="D95" s="426"/>
      <c r="E95" s="656" t="s">
        <v>463</v>
      </c>
      <c r="F95" s="656"/>
      <c r="G95" s="656"/>
      <c r="H95" s="656"/>
      <c r="I95" s="656"/>
      <c r="J95" s="656"/>
      <c r="K95" s="656"/>
      <c r="L95" s="656"/>
      <c r="M95" s="469">
        <f>M89+M90</f>
        <v>237826.70999999996</v>
      </c>
      <c r="N95" s="469">
        <f>N89+N90</f>
        <v>306503.07</v>
      </c>
      <c r="O95" s="469">
        <f>O89+O90</f>
        <v>126048.4</v>
      </c>
      <c r="P95" s="431">
        <f t="shared" si="5"/>
        <v>0.4112467780502166</v>
      </c>
      <c r="Q95" s="470">
        <f>Q89+Q90</f>
        <v>257994.07</v>
      </c>
      <c r="R95" s="432">
        <f t="shared" si="4"/>
        <v>-48509</v>
      </c>
    </row>
    <row r="96" spans="2:5" ht="12.75">
      <c r="B96" s="182"/>
      <c r="C96" s="183"/>
      <c r="D96" s="184"/>
      <c r="E96" s="183"/>
    </row>
    <row r="97" spans="3:5" ht="12.75">
      <c r="C97" s="185"/>
      <c r="D97" s="186"/>
      <c r="E97" s="185"/>
    </row>
    <row r="98" spans="3:5" ht="12.75">
      <c r="C98" s="185"/>
      <c r="D98" s="186"/>
      <c r="E98" s="185"/>
    </row>
    <row r="99" spans="3:5" ht="12.75">
      <c r="C99" s="185"/>
      <c r="D99" s="186"/>
      <c r="E99" s="185"/>
    </row>
    <row r="100" spans="3:5" ht="12.75">
      <c r="C100" s="185"/>
      <c r="D100" s="186"/>
      <c r="E100" s="185"/>
    </row>
    <row r="101" spans="3:16" ht="12.75">
      <c r="C101" s="185"/>
      <c r="D101" s="186"/>
      <c r="E101" s="185"/>
      <c r="P101" s="284"/>
    </row>
    <row r="102" spans="3:5" ht="12.75">
      <c r="C102" s="185"/>
      <c r="D102" s="186"/>
      <c r="E102" s="185"/>
    </row>
    <row r="103" spans="3:5" ht="12.75">
      <c r="C103" s="185"/>
      <c r="D103" s="186"/>
      <c r="E103" s="185"/>
    </row>
    <row r="104" spans="3:5" ht="12.75">
      <c r="C104" s="185"/>
      <c r="D104" s="186"/>
      <c r="E104" s="185"/>
    </row>
    <row r="105" spans="3:5" ht="12.75">
      <c r="C105" s="185"/>
      <c r="D105" s="186"/>
      <c r="E105" s="185"/>
    </row>
    <row r="106" spans="3:5" ht="12.75">
      <c r="C106" s="185"/>
      <c r="D106" s="186"/>
      <c r="E106" s="185"/>
    </row>
    <row r="107" spans="3:5" ht="12.75">
      <c r="C107" s="185"/>
      <c r="D107" s="186"/>
      <c r="E107" s="185"/>
    </row>
    <row r="108" spans="3:5" ht="12.75">
      <c r="C108" s="185"/>
      <c r="D108" s="186"/>
      <c r="E108" s="185"/>
    </row>
    <row r="109" spans="3:5" ht="12.75">
      <c r="C109" s="185"/>
      <c r="D109" s="186"/>
      <c r="E109" s="185"/>
    </row>
    <row r="110" spans="3:5" ht="12.75">
      <c r="C110" s="185"/>
      <c r="D110" s="186"/>
      <c r="E110" s="185"/>
    </row>
    <row r="111" spans="3:5" ht="12.75">
      <c r="C111" s="185"/>
      <c r="D111" s="186"/>
      <c r="E111" s="185"/>
    </row>
    <row r="112" spans="3:5" ht="12.75">
      <c r="C112" s="185"/>
      <c r="D112" s="186"/>
      <c r="E112" s="185"/>
    </row>
    <row r="113" spans="3:5" ht="12.75">
      <c r="C113" s="185"/>
      <c r="D113" s="186"/>
      <c r="E113" s="185"/>
    </row>
    <row r="114" spans="3:5" ht="12.75">
      <c r="C114" s="185"/>
      <c r="D114" s="186"/>
      <c r="E114" s="185"/>
    </row>
    <row r="115" spans="3:5" ht="12.75">
      <c r="C115" s="185"/>
      <c r="D115" s="186"/>
      <c r="E115" s="185"/>
    </row>
    <row r="116" spans="3:5" ht="12.75">
      <c r="C116" s="185"/>
      <c r="D116" s="186"/>
      <c r="E116" s="185"/>
    </row>
    <row r="117" spans="3:5" ht="12.75">
      <c r="C117" s="185"/>
      <c r="D117" s="186"/>
      <c r="E117" s="185"/>
    </row>
    <row r="118" spans="3:5" ht="12.75">
      <c r="C118" s="185"/>
      <c r="D118" s="186"/>
      <c r="E118" s="185"/>
    </row>
    <row r="119" spans="3:5" ht="12.75">
      <c r="C119" s="185"/>
      <c r="D119" s="186"/>
      <c r="E119" s="185"/>
    </row>
    <row r="120" spans="3:5" ht="12.75">
      <c r="C120" s="185"/>
      <c r="D120" s="186"/>
      <c r="E120" s="185"/>
    </row>
    <row r="121" spans="3:5" ht="12.75">
      <c r="C121" s="185"/>
      <c r="D121" s="186"/>
      <c r="E121" s="185"/>
    </row>
    <row r="122" spans="3:5" ht="12.75">
      <c r="C122" s="185"/>
      <c r="D122" s="186"/>
      <c r="E122" s="185"/>
    </row>
    <row r="123" spans="3:5" ht="12.75">
      <c r="C123" s="185"/>
      <c r="D123" s="186"/>
      <c r="E123" s="185"/>
    </row>
    <row r="124" spans="3:5" ht="12.75">
      <c r="C124" s="185"/>
      <c r="D124" s="186"/>
      <c r="E124" s="185"/>
    </row>
    <row r="125" spans="3:5" ht="12.75">
      <c r="C125" s="185"/>
      <c r="D125" s="186"/>
      <c r="E125" s="185"/>
    </row>
  </sheetData>
  <sheetProtection/>
  <mergeCells count="252">
    <mergeCell ref="N11:N12"/>
    <mergeCell ref="O11:O12"/>
    <mergeCell ref="P11:P12"/>
    <mergeCell ref="Q11:Q12"/>
    <mergeCell ref="R11:R12"/>
    <mergeCell ref="H12:J12"/>
    <mergeCell ref="K12:L12"/>
    <mergeCell ref="A13:G13"/>
    <mergeCell ref="H13:J13"/>
    <mergeCell ref="K13:L13"/>
    <mergeCell ref="A11:F12"/>
    <mergeCell ref="G11:G12"/>
    <mergeCell ref="H11:L11"/>
    <mergeCell ref="B14:G14"/>
    <mergeCell ref="H14:J14"/>
    <mergeCell ref="K14:L14"/>
    <mergeCell ref="E15:F15"/>
    <mergeCell ref="H15:J15"/>
    <mergeCell ref="K15:L15"/>
    <mergeCell ref="E16:F16"/>
    <mergeCell ref="H16:J16"/>
    <mergeCell ref="K16:L16"/>
    <mergeCell ref="E17:F17"/>
    <mergeCell ref="H17:J17"/>
    <mergeCell ref="K17:L17"/>
    <mergeCell ref="E18:F18"/>
    <mergeCell ref="H18:J18"/>
    <mergeCell ref="K18:L18"/>
    <mergeCell ref="E19:F19"/>
    <mergeCell ref="H19:J19"/>
    <mergeCell ref="E20:F20"/>
    <mergeCell ref="H20:J20"/>
    <mergeCell ref="A21:G21"/>
    <mergeCell ref="H21:J21"/>
    <mergeCell ref="K21:L21"/>
    <mergeCell ref="B22:G22"/>
    <mergeCell ref="H22:J22"/>
    <mergeCell ref="K22:L22"/>
    <mergeCell ref="E23:F23"/>
    <mergeCell ref="H23:J23"/>
    <mergeCell ref="K23:L23"/>
    <mergeCell ref="E24:F24"/>
    <mergeCell ref="H24:J24"/>
    <mergeCell ref="K24:L24"/>
    <mergeCell ref="E25:F25"/>
    <mergeCell ref="H25:J25"/>
    <mergeCell ref="K25:L25"/>
    <mergeCell ref="E26:F26"/>
    <mergeCell ref="H26:J26"/>
    <mergeCell ref="K26:L26"/>
    <mergeCell ref="E27:F27"/>
    <mergeCell ref="H27:J27"/>
    <mergeCell ref="K27:L27"/>
    <mergeCell ref="A28:G28"/>
    <mergeCell ref="H28:J28"/>
    <mergeCell ref="K28:L28"/>
    <mergeCell ref="B29:G29"/>
    <mergeCell ref="H29:J29"/>
    <mergeCell ref="K29:L29"/>
    <mergeCell ref="E30:F30"/>
    <mergeCell ref="H30:J30"/>
    <mergeCell ref="K30:L30"/>
    <mergeCell ref="E31:F31"/>
    <mergeCell ref="H31:J31"/>
    <mergeCell ref="E32:F32"/>
    <mergeCell ref="H32:J32"/>
    <mergeCell ref="A33:G33"/>
    <mergeCell ref="H33:J33"/>
    <mergeCell ref="K33:L33"/>
    <mergeCell ref="E34:F34"/>
    <mergeCell ref="H34:J34"/>
    <mergeCell ref="K34:L34"/>
    <mergeCell ref="B35:G35"/>
    <mergeCell ref="H35:J35"/>
    <mergeCell ref="K35:L35"/>
    <mergeCell ref="C36:G36"/>
    <mergeCell ref="H36:J36"/>
    <mergeCell ref="K36:L36"/>
    <mergeCell ref="C37:G37"/>
    <mergeCell ref="H37:J37"/>
    <mergeCell ref="K37:L37"/>
    <mergeCell ref="E38:F38"/>
    <mergeCell ref="H38:J38"/>
    <mergeCell ref="K38:L38"/>
    <mergeCell ref="A39:G39"/>
    <mergeCell ref="H39:J39"/>
    <mergeCell ref="K39:L39"/>
    <mergeCell ref="E40:F40"/>
    <mergeCell ref="H40:J40"/>
    <mergeCell ref="K40:L40"/>
    <mergeCell ref="A41:G41"/>
    <mergeCell ref="H41:J41"/>
    <mergeCell ref="K41:L41"/>
    <mergeCell ref="B42:G42"/>
    <mergeCell ref="H42:J42"/>
    <mergeCell ref="K42:L42"/>
    <mergeCell ref="A43:G43"/>
    <mergeCell ref="H43:J43"/>
    <mergeCell ref="K43:L43"/>
    <mergeCell ref="E44:G44"/>
    <mergeCell ref="H44:J44"/>
    <mergeCell ref="K44:L44"/>
    <mergeCell ref="E45:G45"/>
    <mergeCell ref="H45:J45"/>
    <mergeCell ref="K45:L45"/>
    <mergeCell ref="B46:G46"/>
    <mergeCell ref="H46:J46"/>
    <mergeCell ref="K46:L46"/>
    <mergeCell ref="E47:F47"/>
    <mergeCell ref="H47:J47"/>
    <mergeCell ref="K47:L47"/>
    <mergeCell ref="A48:G48"/>
    <mergeCell ref="H48:J48"/>
    <mergeCell ref="K48:L48"/>
    <mergeCell ref="B49:G49"/>
    <mergeCell ref="H49:J49"/>
    <mergeCell ref="K49:L49"/>
    <mergeCell ref="E50:F50"/>
    <mergeCell ref="H50:J50"/>
    <mergeCell ref="K50:L50"/>
    <mergeCell ref="E51:F51"/>
    <mergeCell ref="H51:J51"/>
    <mergeCell ref="K51:L51"/>
    <mergeCell ref="B52:G52"/>
    <mergeCell ref="H52:J52"/>
    <mergeCell ref="K52:L52"/>
    <mergeCell ref="E53:F53"/>
    <mergeCell ref="H53:J53"/>
    <mergeCell ref="K53:L53"/>
    <mergeCell ref="E54:F54"/>
    <mergeCell ref="H54:J54"/>
    <mergeCell ref="K54:L54"/>
    <mergeCell ref="B55:G55"/>
    <mergeCell ref="H55:J55"/>
    <mergeCell ref="K55:L55"/>
    <mergeCell ref="E56:F56"/>
    <mergeCell ref="H56:J56"/>
    <mergeCell ref="K56:L56"/>
    <mergeCell ref="E57:F57"/>
    <mergeCell ref="H57:J57"/>
    <mergeCell ref="K57:L57"/>
    <mergeCell ref="E58:F58"/>
    <mergeCell ref="H58:J58"/>
    <mergeCell ref="K58:L58"/>
    <mergeCell ref="E59:F59"/>
    <mergeCell ref="H59:J59"/>
    <mergeCell ref="K59:L59"/>
    <mergeCell ref="E60:F60"/>
    <mergeCell ref="H60:J60"/>
    <mergeCell ref="K60:L60"/>
    <mergeCell ref="E61:F61"/>
    <mergeCell ref="H61:J61"/>
    <mergeCell ref="K61:L61"/>
    <mergeCell ref="E62:F62"/>
    <mergeCell ref="H62:J62"/>
    <mergeCell ref="K62:L62"/>
    <mergeCell ref="B63:G63"/>
    <mergeCell ref="H63:J63"/>
    <mergeCell ref="K63:L63"/>
    <mergeCell ref="B64:G64"/>
    <mergeCell ref="H64:J64"/>
    <mergeCell ref="K64:L64"/>
    <mergeCell ref="E65:F65"/>
    <mergeCell ref="H65:J65"/>
    <mergeCell ref="K65:L65"/>
    <mergeCell ref="B66:G66"/>
    <mergeCell ref="H66:J66"/>
    <mergeCell ref="K66:L66"/>
    <mergeCell ref="E67:F67"/>
    <mergeCell ref="H67:J67"/>
    <mergeCell ref="K67:L67"/>
    <mergeCell ref="B68:G68"/>
    <mergeCell ref="H68:J68"/>
    <mergeCell ref="K68:L68"/>
    <mergeCell ref="B69:G69"/>
    <mergeCell ref="H69:J69"/>
    <mergeCell ref="K69:L69"/>
    <mergeCell ref="E70:F70"/>
    <mergeCell ref="H70:J70"/>
    <mergeCell ref="K70:L70"/>
    <mergeCell ref="E71:F71"/>
    <mergeCell ref="H71:J71"/>
    <mergeCell ref="K71:L71"/>
    <mergeCell ref="E72:F72"/>
    <mergeCell ref="H72:J72"/>
    <mergeCell ref="K72:L72"/>
    <mergeCell ref="E73:F73"/>
    <mergeCell ref="H73:J73"/>
    <mergeCell ref="K73:L73"/>
    <mergeCell ref="E74:F74"/>
    <mergeCell ref="H74:J74"/>
    <mergeCell ref="K74:L74"/>
    <mergeCell ref="E75:F75"/>
    <mergeCell ref="H75:J75"/>
    <mergeCell ref="K75:L75"/>
    <mergeCell ref="E76:F76"/>
    <mergeCell ref="H76:J76"/>
    <mergeCell ref="K76:L76"/>
    <mergeCell ref="E77:F77"/>
    <mergeCell ref="H77:J77"/>
    <mergeCell ref="K77:L77"/>
    <mergeCell ref="E78:F78"/>
    <mergeCell ref="H78:J78"/>
    <mergeCell ref="K78:L78"/>
    <mergeCell ref="E79:F79"/>
    <mergeCell ref="H79:J79"/>
    <mergeCell ref="K79:L79"/>
    <mergeCell ref="E80:F80"/>
    <mergeCell ref="H80:J80"/>
    <mergeCell ref="K80:L80"/>
    <mergeCell ref="E81:F81"/>
    <mergeCell ref="H81:J81"/>
    <mergeCell ref="K81:L81"/>
    <mergeCell ref="E82:F82"/>
    <mergeCell ref="H82:J82"/>
    <mergeCell ref="K82:L82"/>
    <mergeCell ref="E83:F83"/>
    <mergeCell ref="H83:J83"/>
    <mergeCell ref="K83:L83"/>
    <mergeCell ref="K87:L87"/>
    <mergeCell ref="E84:F84"/>
    <mergeCell ref="H84:J84"/>
    <mergeCell ref="K84:L84"/>
    <mergeCell ref="E85:F85"/>
    <mergeCell ref="H85:J85"/>
    <mergeCell ref="K85:L85"/>
    <mergeCell ref="E88:F88"/>
    <mergeCell ref="H88:J88"/>
    <mergeCell ref="E89:F89"/>
    <mergeCell ref="H89:J89"/>
    <mergeCell ref="K89:L89"/>
    <mergeCell ref="E86:F86"/>
    <mergeCell ref="H86:J86"/>
    <mergeCell ref="K86:L86"/>
    <mergeCell ref="E87:F87"/>
    <mergeCell ref="H87:J87"/>
    <mergeCell ref="B90:G90"/>
    <mergeCell ref="H90:J90"/>
    <mergeCell ref="K90:L90"/>
    <mergeCell ref="C91:G91"/>
    <mergeCell ref="H91:J91"/>
    <mergeCell ref="K91:L91"/>
    <mergeCell ref="E95:L95"/>
    <mergeCell ref="M11:M12"/>
    <mergeCell ref="E94:F94"/>
    <mergeCell ref="H94:J94"/>
    <mergeCell ref="C93:G93"/>
    <mergeCell ref="H93:J93"/>
    <mergeCell ref="K93:L93"/>
    <mergeCell ref="E92:F92"/>
    <mergeCell ref="H92:J92"/>
    <mergeCell ref="K92:L92"/>
  </mergeCells>
  <printOptions/>
  <pageMargins left="0.15748031496062992" right="0.1968503937007874" top="0.2755905511811024" bottom="0.1968503937007874" header="0.31496062992125984" footer="0.15748031496062992"/>
  <pageSetup fitToHeight="3" fitToWidth="1" horizontalDpi="600" verticalDpi="600" orientation="portrait" paperSize="9" scale="48" r:id="rId1"/>
  <rowBreaks count="1" manualBreakCount="1">
    <brk id="66" min="4" max="1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AE181"/>
  <sheetViews>
    <sheetView zoomScale="75" zoomScaleNormal="75" zoomScaleSheetLayoutView="75" zoomScalePageLayoutView="0" workbookViewId="0" topLeftCell="E1">
      <pane xSplit="6" ySplit="12" topLeftCell="T108" activePane="bottomRight" state="frozen"/>
      <selection pane="topLeft" activeCell="E1" sqref="E1"/>
      <selection pane="topRight" activeCell="K1" sqref="K1"/>
      <selection pane="bottomLeft" activeCell="E11" sqref="E11"/>
      <selection pane="bottomRight" activeCell="C121" sqref="C121:G121"/>
    </sheetView>
  </sheetViews>
  <sheetFormatPr defaultColWidth="9.140625" defaultRowHeight="12.75"/>
  <cols>
    <col min="1" max="1" width="2.140625" style="33" hidden="1" customWidth="1"/>
    <col min="2" max="2" width="3.00390625" style="34" hidden="1" customWidth="1"/>
    <col min="3" max="3" width="0.42578125" style="35" hidden="1" customWidth="1"/>
    <col min="4" max="4" width="1.1484375" style="36" hidden="1" customWidth="1"/>
    <col min="5" max="5" width="25.00390625" style="35" customWidth="1"/>
    <col min="6" max="6" width="30.8515625" style="33" customWidth="1"/>
    <col min="7" max="7" width="7.57421875" style="33" customWidth="1"/>
    <col min="8" max="10" width="9.140625" style="4" customWidth="1"/>
    <col min="11" max="11" width="5.8515625" style="4" hidden="1" customWidth="1"/>
    <col min="12" max="12" width="4.421875" style="4" hidden="1" customWidth="1"/>
    <col min="13" max="13" width="13.421875" style="4" hidden="1" customWidth="1"/>
    <col min="14" max="14" width="18.28125" style="4" hidden="1" customWidth="1"/>
    <col min="15" max="16" width="17.00390625" style="4" hidden="1" customWidth="1"/>
    <col min="17" max="17" width="11.421875" style="4" hidden="1" customWidth="1"/>
    <col min="18" max="19" width="15.57421875" style="4" hidden="1" customWidth="1"/>
    <col min="20" max="20" width="15.57421875" style="4" customWidth="1"/>
    <col min="21" max="21" width="24.7109375" style="4" customWidth="1"/>
    <col min="22" max="22" width="18.421875" style="4" customWidth="1"/>
    <col min="23" max="24" width="15.57421875" style="4" hidden="1" customWidth="1"/>
    <col min="25" max="25" width="14.140625" style="4" hidden="1" customWidth="1"/>
    <col min="26" max="26" width="14.28125" style="4" hidden="1" customWidth="1"/>
    <col min="27" max="27" width="17.57421875" style="276" customWidth="1"/>
    <col min="28" max="28" width="13.8515625" style="4" customWidth="1"/>
    <col min="29" max="29" width="12.7109375" style="4" bestFit="1" customWidth="1"/>
    <col min="30" max="16384" width="9.140625" style="4" customWidth="1"/>
  </cols>
  <sheetData>
    <row r="1" ht="12.75">
      <c r="U1" s="4" t="s">
        <v>203</v>
      </c>
    </row>
    <row r="2" ht="12.75">
      <c r="U2" s="4" t="s">
        <v>357</v>
      </c>
    </row>
    <row r="3" spans="3:21" ht="12.75">
      <c r="C3" s="221"/>
      <c r="D3" s="221"/>
      <c r="E3" s="221"/>
      <c r="M3" s="4" t="s">
        <v>203</v>
      </c>
      <c r="U3" s="4" t="s">
        <v>500</v>
      </c>
    </row>
    <row r="4" spans="3:21" ht="12.75">
      <c r="C4" s="221"/>
      <c r="D4" s="221"/>
      <c r="E4" s="221"/>
      <c r="M4" s="4" t="s">
        <v>499</v>
      </c>
      <c r="U4" s="4" t="s">
        <v>501</v>
      </c>
    </row>
    <row r="5" spans="3:13" ht="12.75">
      <c r="C5" s="221"/>
      <c r="D5" s="221"/>
      <c r="E5" s="221"/>
      <c r="M5" s="4" t="s">
        <v>500</v>
      </c>
    </row>
    <row r="6" spans="3:13" ht="12.75">
      <c r="C6" s="221"/>
      <c r="D6" s="221"/>
      <c r="E6" s="221"/>
      <c r="M6" s="4" t="s">
        <v>501</v>
      </c>
    </row>
    <row r="7" spans="3:13" ht="12.75">
      <c r="C7" s="221"/>
      <c r="D7" s="221"/>
      <c r="E7" s="221"/>
      <c r="M7" s="4" t="s">
        <v>148</v>
      </c>
    </row>
    <row r="8" spans="3:5" ht="12.75">
      <c r="C8" s="221"/>
      <c r="D8" s="221"/>
      <c r="E8" s="221"/>
    </row>
    <row r="9" spans="3:5" ht="15.75">
      <c r="C9" s="221"/>
      <c r="D9" s="221"/>
      <c r="E9" s="211" t="s">
        <v>80</v>
      </c>
    </row>
    <row r="10" spans="3:14" ht="12.75">
      <c r="C10" s="221"/>
      <c r="D10" s="221"/>
      <c r="E10" s="221"/>
      <c r="N10" s="4">
        <v>80.2</v>
      </c>
    </row>
    <row r="11" spans="1:27" ht="36.75" customHeight="1">
      <c r="A11" s="852" t="s">
        <v>261</v>
      </c>
      <c r="B11" s="852"/>
      <c r="C11" s="852"/>
      <c r="D11" s="852"/>
      <c r="E11" s="852"/>
      <c r="F11" s="852"/>
      <c r="G11" s="852" t="s">
        <v>230</v>
      </c>
      <c r="H11" s="852" t="s">
        <v>472</v>
      </c>
      <c r="I11" s="852"/>
      <c r="J11" s="852"/>
      <c r="K11" s="852"/>
      <c r="L11" s="852"/>
      <c r="M11" s="852" t="s">
        <v>471</v>
      </c>
      <c r="N11" s="852" t="s">
        <v>492</v>
      </c>
      <c r="O11" s="852" t="s">
        <v>383</v>
      </c>
      <c r="P11" s="852" t="s">
        <v>389</v>
      </c>
      <c r="Q11" s="852" t="s">
        <v>438</v>
      </c>
      <c r="R11" s="852" t="s">
        <v>439</v>
      </c>
      <c r="S11" s="853" t="s">
        <v>312</v>
      </c>
      <c r="T11" s="853" t="s">
        <v>63</v>
      </c>
      <c r="U11" s="853" t="s">
        <v>64</v>
      </c>
      <c r="V11" s="852" t="s">
        <v>389</v>
      </c>
      <c r="W11" s="854" t="s">
        <v>314</v>
      </c>
      <c r="X11" s="272" t="s">
        <v>315</v>
      </c>
      <c r="Y11" s="852" t="s">
        <v>312</v>
      </c>
      <c r="Z11" s="852" t="s">
        <v>313</v>
      </c>
      <c r="AA11" s="851"/>
    </row>
    <row r="12" spans="1:27" s="150" customFormat="1" ht="29.25" customHeight="1">
      <c r="A12" s="852"/>
      <c r="B12" s="852"/>
      <c r="C12" s="852"/>
      <c r="D12" s="852"/>
      <c r="E12" s="852"/>
      <c r="F12" s="852"/>
      <c r="G12" s="852"/>
      <c r="H12" s="852" t="s">
        <v>231</v>
      </c>
      <c r="I12" s="852"/>
      <c r="J12" s="852"/>
      <c r="K12" s="852" t="s">
        <v>232</v>
      </c>
      <c r="L12" s="852"/>
      <c r="M12" s="852"/>
      <c r="N12" s="852"/>
      <c r="O12" s="852"/>
      <c r="P12" s="852"/>
      <c r="Q12" s="852"/>
      <c r="R12" s="852"/>
      <c r="S12" s="853"/>
      <c r="T12" s="853"/>
      <c r="U12" s="853"/>
      <c r="V12" s="852"/>
      <c r="W12" s="855"/>
      <c r="X12" s="273"/>
      <c r="Y12" s="852"/>
      <c r="Z12" s="852"/>
      <c r="AA12" s="851"/>
    </row>
    <row r="13" spans="1:27" s="2" customFormat="1" ht="36.75" customHeight="1">
      <c r="A13" s="845" t="s">
        <v>233</v>
      </c>
      <c r="B13" s="845"/>
      <c r="C13" s="845"/>
      <c r="D13" s="845"/>
      <c r="E13" s="845"/>
      <c r="F13" s="845"/>
      <c r="G13" s="845"/>
      <c r="H13" s="846" t="s">
        <v>116</v>
      </c>
      <c r="I13" s="846"/>
      <c r="J13" s="846"/>
      <c r="K13" s="847"/>
      <c r="L13" s="847"/>
      <c r="M13" s="204" t="e">
        <f>M14</f>
        <v>#REF!</v>
      </c>
      <c r="N13" s="204">
        <f>N14</f>
        <v>0</v>
      </c>
      <c r="O13" s="204" t="e">
        <f>O14</f>
        <v>#REF!</v>
      </c>
      <c r="P13" s="204" t="e">
        <f aca="true" t="shared" si="0" ref="P13:P77">N13-M13</f>
        <v>#REF!</v>
      </c>
      <c r="Q13" s="204" t="e">
        <f>Q14</f>
        <v>#REF!</v>
      </c>
      <c r="R13" s="204" t="e">
        <f>R14</f>
        <v>#REF!</v>
      </c>
      <c r="S13" s="204">
        <f>S14</f>
        <v>140429</v>
      </c>
      <c r="T13" s="253">
        <f>T14</f>
        <v>143640</v>
      </c>
      <c r="U13" s="253">
        <f>U14</f>
        <v>168260</v>
      </c>
      <c r="V13" s="253">
        <f>U13-T13</f>
        <v>24620</v>
      </c>
      <c r="W13" s="151" t="e">
        <f aca="true" t="shared" si="1" ref="W13:W28">S13/N13</f>
        <v>#DIV/0!</v>
      </c>
      <c r="X13" s="152">
        <f aca="true" t="shared" si="2" ref="X13:X98">S13-N13</f>
        <v>140429</v>
      </c>
      <c r="Y13" s="39" t="e">
        <f>Y14</f>
        <v>#REF!</v>
      </c>
      <c r="Z13" s="39" t="e">
        <f>Z14</f>
        <v>#REF!</v>
      </c>
      <c r="AA13" s="122"/>
    </row>
    <row r="14" spans="1:27" s="8" customFormat="1" ht="31.5" customHeight="1">
      <c r="A14" s="269"/>
      <c r="B14" s="848" t="s">
        <v>209</v>
      </c>
      <c r="C14" s="848"/>
      <c r="D14" s="848"/>
      <c r="E14" s="848"/>
      <c r="F14" s="848"/>
      <c r="G14" s="848"/>
      <c r="H14" s="849" t="s">
        <v>115</v>
      </c>
      <c r="I14" s="849"/>
      <c r="J14" s="849"/>
      <c r="K14" s="850"/>
      <c r="L14" s="850"/>
      <c r="M14" s="153" t="e">
        <f>M15+M16+M17+#REF!</f>
        <v>#REF!</v>
      </c>
      <c r="N14" s="153"/>
      <c r="O14" s="153" t="e">
        <f>O15+O16+O17+#REF!</f>
        <v>#REF!</v>
      </c>
      <c r="P14" s="153" t="e">
        <f>P15+P16+P17+#REF!</f>
        <v>#REF!</v>
      </c>
      <c r="Q14" s="153" t="e">
        <f>Q15+Q16+Q17+#REF!</f>
        <v>#REF!</v>
      </c>
      <c r="R14" s="154" t="e">
        <f>Q14/P14</f>
        <v>#REF!</v>
      </c>
      <c r="S14" s="155">
        <f>S15+S16+S17</f>
        <v>140429</v>
      </c>
      <c r="T14" s="251">
        <f>SUM(T15:T18)</f>
        <v>143640</v>
      </c>
      <c r="U14" s="251">
        <f>SUM(U15:U18)</f>
        <v>168260</v>
      </c>
      <c r="V14" s="253">
        <f aca="true" t="shared" si="3" ref="V14:V77">U14-T14</f>
        <v>24620</v>
      </c>
      <c r="W14" s="156" t="e">
        <f t="shared" si="1"/>
        <v>#DIV/0!</v>
      </c>
      <c r="X14" s="152">
        <f t="shared" si="2"/>
        <v>140429</v>
      </c>
      <c r="Y14" s="31" t="e">
        <f>Y15</f>
        <v>#REF!</v>
      </c>
      <c r="Z14" s="157" t="e">
        <f>Y14*1.2</f>
        <v>#REF!</v>
      </c>
      <c r="AA14" s="123"/>
    </row>
    <row r="15" spans="1:27" s="5" customFormat="1" ht="71.25" customHeight="1">
      <c r="A15" s="270"/>
      <c r="B15" s="270"/>
      <c r="C15" s="158" t="s">
        <v>316</v>
      </c>
      <c r="D15" s="159"/>
      <c r="E15" s="860" t="s">
        <v>316</v>
      </c>
      <c r="F15" s="861"/>
      <c r="G15" s="270"/>
      <c r="H15" s="858" t="s">
        <v>117</v>
      </c>
      <c r="I15" s="858"/>
      <c r="J15" s="858"/>
      <c r="K15" s="862"/>
      <c r="L15" s="862"/>
      <c r="M15" s="160">
        <v>75357</v>
      </c>
      <c r="N15" s="160"/>
      <c r="O15" s="160">
        <v>83221</v>
      </c>
      <c r="P15" s="160">
        <v>126801</v>
      </c>
      <c r="Q15" s="160">
        <v>137829</v>
      </c>
      <c r="R15" s="154">
        <f>Q15/P15</f>
        <v>1.0869709229422482</v>
      </c>
      <c r="S15" s="161">
        <v>137829</v>
      </c>
      <c r="T15" s="166">
        <v>142020</v>
      </c>
      <c r="U15" s="166">
        <v>166355</v>
      </c>
      <c r="V15" s="253">
        <f t="shared" si="3"/>
        <v>24335</v>
      </c>
      <c r="W15" s="156" t="e">
        <f t="shared" si="1"/>
        <v>#DIV/0!</v>
      </c>
      <c r="X15" s="162">
        <f t="shared" si="2"/>
        <v>137829</v>
      </c>
      <c r="Y15" s="32" t="e">
        <f>Y16+Y17+#REF!+#REF!+#REF!</f>
        <v>#REF!</v>
      </c>
      <c r="Z15" s="157" t="e">
        <f>Y15*1.2</f>
        <v>#REF!</v>
      </c>
      <c r="AA15" s="124"/>
    </row>
    <row r="16" spans="1:26" ht="89.25" customHeight="1">
      <c r="A16" s="225"/>
      <c r="B16" s="225"/>
      <c r="C16" s="225"/>
      <c r="D16" s="225"/>
      <c r="E16" s="856" t="s">
        <v>317</v>
      </c>
      <c r="F16" s="857"/>
      <c r="G16" s="223" t="s">
        <v>234</v>
      </c>
      <c r="H16" s="858" t="s">
        <v>118</v>
      </c>
      <c r="I16" s="858"/>
      <c r="J16" s="858"/>
      <c r="K16" s="859"/>
      <c r="L16" s="859"/>
      <c r="M16" s="163">
        <v>450</v>
      </c>
      <c r="N16" s="163"/>
      <c r="O16" s="163">
        <v>453</v>
      </c>
      <c r="P16" s="164">
        <v>1746</v>
      </c>
      <c r="Q16" s="165">
        <v>1900</v>
      </c>
      <c r="R16" s="154">
        <f>Q16/P16</f>
        <v>1.088201603665521</v>
      </c>
      <c r="S16" s="166">
        <v>1900</v>
      </c>
      <c r="T16" s="166">
        <v>740</v>
      </c>
      <c r="U16" s="166">
        <v>875</v>
      </c>
      <c r="V16" s="253">
        <f t="shared" si="3"/>
        <v>135</v>
      </c>
      <c r="W16" s="156" t="e">
        <f t="shared" si="1"/>
        <v>#DIV/0!</v>
      </c>
      <c r="X16" s="162">
        <f t="shared" si="2"/>
        <v>1900</v>
      </c>
      <c r="Y16" s="232">
        <v>114802</v>
      </c>
      <c r="Z16" s="157">
        <f>Y16*1.2</f>
        <v>137762.4</v>
      </c>
    </row>
    <row r="17" spans="1:26" ht="39.75" customHeight="1">
      <c r="A17" s="225"/>
      <c r="B17" s="225"/>
      <c r="C17" s="225"/>
      <c r="D17" s="225"/>
      <c r="E17" s="856" t="s">
        <v>318</v>
      </c>
      <c r="F17" s="857"/>
      <c r="G17" s="223" t="s">
        <v>234</v>
      </c>
      <c r="H17" s="858" t="s">
        <v>119</v>
      </c>
      <c r="I17" s="858"/>
      <c r="J17" s="858"/>
      <c r="K17" s="859"/>
      <c r="L17" s="859"/>
      <c r="M17" s="163">
        <v>514</v>
      </c>
      <c r="N17" s="163"/>
      <c r="O17" s="163">
        <v>373</v>
      </c>
      <c r="P17" s="165">
        <v>626</v>
      </c>
      <c r="Q17" s="165">
        <v>700</v>
      </c>
      <c r="R17" s="154">
        <f>Q17/P17</f>
        <v>1.1182108626198084</v>
      </c>
      <c r="S17" s="166">
        <v>700</v>
      </c>
      <c r="T17" s="166">
        <v>650</v>
      </c>
      <c r="U17" s="166">
        <v>760</v>
      </c>
      <c r="V17" s="253">
        <f t="shared" si="3"/>
        <v>110</v>
      </c>
      <c r="W17" s="156" t="e">
        <f t="shared" si="1"/>
        <v>#DIV/0!</v>
      </c>
      <c r="X17" s="162">
        <f t="shared" si="2"/>
        <v>700</v>
      </c>
      <c r="Y17" s="232">
        <v>350</v>
      </c>
      <c r="Z17" s="157">
        <f>Y17*1.2</f>
        <v>420</v>
      </c>
    </row>
    <row r="18" spans="1:26" ht="126" customHeight="1">
      <c r="A18" s="225"/>
      <c r="B18" s="225"/>
      <c r="C18" s="225"/>
      <c r="D18" s="225"/>
      <c r="E18" s="856" t="s">
        <v>120</v>
      </c>
      <c r="F18" s="857"/>
      <c r="G18" s="223" t="s">
        <v>234</v>
      </c>
      <c r="H18" s="858" t="s">
        <v>127</v>
      </c>
      <c r="I18" s="858"/>
      <c r="J18" s="858"/>
      <c r="K18" s="859"/>
      <c r="L18" s="859"/>
      <c r="M18" s="163"/>
      <c r="N18" s="163"/>
      <c r="O18" s="163"/>
      <c r="P18" s="165"/>
      <c r="Q18" s="165"/>
      <c r="R18" s="154"/>
      <c r="S18" s="166"/>
      <c r="T18" s="166">
        <v>230</v>
      </c>
      <c r="U18" s="166">
        <v>270</v>
      </c>
      <c r="V18" s="253">
        <f t="shared" si="3"/>
        <v>40</v>
      </c>
      <c r="W18" s="156"/>
      <c r="X18" s="162"/>
      <c r="Y18" s="232"/>
      <c r="Z18" s="157"/>
    </row>
    <row r="19" spans="1:27" s="2" customFormat="1" ht="12.75" customHeight="1">
      <c r="A19" s="865" t="s">
        <v>235</v>
      </c>
      <c r="B19" s="865"/>
      <c r="C19" s="865"/>
      <c r="D19" s="865"/>
      <c r="E19" s="865"/>
      <c r="F19" s="865"/>
      <c r="G19" s="865"/>
      <c r="H19" s="866" t="s">
        <v>128</v>
      </c>
      <c r="I19" s="866"/>
      <c r="J19" s="866"/>
      <c r="K19" s="867"/>
      <c r="L19" s="867"/>
      <c r="M19" s="78">
        <f>M20+M24+M25</f>
        <v>16106</v>
      </c>
      <c r="N19" s="78">
        <f>N20+N24+N25</f>
        <v>15450</v>
      </c>
      <c r="O19" s="78">
        <f>O20+O24+O25</f>
        <v>6910</v>
      </c>
      <c r="P19" s="78">
        <f t="shared" si="0"/>
        <v>-656</v>
      </c>
      <c r="Q19" s="78">
        <f>Q20+Q24+Q25</f>
        <v>17614</v>
      </c>
      <c r="R19" s="78">
        <f>R20+R24+R25</f>
        <v>18868</v>
      </c>
      <c r="S19" s="78">
        <f>S20+S24+S25</f>
        <v>8200</v>
      </c>
      <c r="T19" s="78">
        <f>T20+T24+T25</f>
        <v>11311</v>
      </c>
      <c r="U19" s="78">
        <f>U20+U24+U25</f>
        <v>13295</v>
      </c>
      <c r="V19" s="253">
        <f t="shared" si="3"/>
        <v>1984</v>
      </c>
      <c r="W19" s="151">
        <f t="shared" si="1"/>
        <v>0.5307443365695793</v>
      </c>
      <c r="X19" s="152">
        <f t="shared" si="2"/>
        <v>-7250</v>
      </c>
      <c r="Y19" s="39">
        <f>Y20+Y24+Y25</f>
        <v>8200</v>
      </c>
      <c r="Z19" s="152">
        <f>Z20+Z24+Z25</f>
        <v>8640</v>
      </c>
      <c r="AA19" s="122"/>
    </row>
    <row r="20" spans="1:27" s="8" customFormat="1" ht="30.75" customHeight="1">
      <c r="A20" s="269"/>
      <c r="B20" s="868" t="s">
        <v>236</v>
      </c>
      <c r="C20" s="868"/>
      <c r="D20" s="868"/>
      <c r="E20" s="868"/>
      <c r="F20" s="868"/>
      <c r="G20" s="868"/>
      <c r="H20" s="869" t="s">
        <v>129</v>
      </c>
      <c r="I20" s="869"/>
      <c r="J20" s="869"/>
      <c r="K20" s="870"/>
      <c r="L20" s="870"/>
      <c r="M20" s="31">
        <v>9256</v>
      </c>
      <c r="N20" s="31">
        <f>N21+N22</f>
        <v>8600</v>
      </c>
      <c r="O20" s="31">
        <f>O21+O22</f>
        <v>3702</v>
      </c>
      <c r="P20" s="41">
        <f t="shared" si="0"/>
        <v>-656</v>
      </c>
      <c r="Q20" s="31">
        <f>Q21+Q22</f>
        <v>10069</v>
      </c>
      <c r="R20" s="31">
        <f>R21+R22</f>
        <v>10568</v>
      </c>
      <c r="S20" s="31"/>
      <c r="T20" s="31">
        <f>T21+T22+T23</f>
        <v>4595</v>
      </c>
      <c r="U20" s="31">
        <f>U21+U22+U23</f>
        <v>4595</v>
      </c>
      <c r="V20" s="253">
        <f t="shared" si="3"/>
        <v>0</v>
      </c>
      <c r="W20" s="156">
        <f t="shared" si="1"/>
        <v>0</v>
      </c>
      <c r="X20" s="162">
        <f t="shared" si="2"/>
        <v>-8600</v>
      </c>
      <c r="Y20" s="31"/>
      <c r="Z20" s="157"/>
      <c r="AA20" s="123"/>
    </row>
    <row r="21" spans="1:26" ht="39.75" customHeight="1">
      <c r="A21" s="225"/>
      <c r="B21" s="225"/>
      <c r="C21" s="225"/>
      <c r="D21" s="225"/>
      <c r="E21" s="856" t="s">
        <v>121</v>
      </c>
      <c r="F21" s="857"/>
      <c r="G21" s="223" t="s">
        <v>234</v>
      </c>
      <c r="H21" s="863" t="s">
        <v>122</v>
      </c>
      <c r="I21" s="863"/>
      <c r="J21" s="863"/>
      <c r="K21" s="864"/>
      <c r="L21" s="864"/>
      <c r="M21" s="233">
        <v>5440</v>
      </c>
      <c r="N21" s="233">
        <v>5440</v>
      </c>
      <c r="O21" s="233">
        <v>3253</v>
      </c>
      <c r="P21" s="41">
        <f t="shared" si="0"/>
        <v>0</v>
      </c>
      <c r="Q21" s="233">
        <v>6149</v>
      </c>
      <c r="R21" s="233">
        <v>6408</v>
      </c>
      <c r="S21" s="232">
        <v>0</v>
      </c>
      <c r="T21" s="240">
        <v>2834</v>
      </c>
      <c r="U21" s="240">
        <v>2834</v>
      </c>
      <c r="V21" s="253">
        <f t="shared" si="3"/>
        <v>0</v>
      </c>
      <c r="W21" s="156">
        <f t="shared" si="1"/>
        <v>0</v>
      </c>
      <c r="X21" s="162">
        <f t="shared" si="2"/>
        <v>-5440</v>
      </c>
      <c r="Y21" s="232"/>
      <c r="Z21" s="157"/>
    </row>
    <row r="22" spans="1:26" ht="40.5" customHeight="1">
      <c r="A22" s="225"/>
      <c r="B22" s="225"/>
      <c r="C22" s="225"/>
      <c r="D22" s="225"/>
      <c r="E22" s="856" t="s">
        <v>124</v>
      </c>
      <c r="F22" s="857"/>
      <c r="G22" s="223" t="s">
        <v>234</v>
      </c>
      <c r="H22" s="863" t="s">
        <v>123</v>
      </c>
      <c r="I22" s="863"/>
      <c r="J22" s="863"/>
      <c r="K22" s="864"/>
      <c r="L22" s="864"/>
      <c r="M22" s="233">
        <v>3816</v>
      </c>
      <c r="N22" s="233">
        <v>3160</v>
      </c>
      <c r="O22" s="233">
        <v>449</v>
      </c>
      <c r="P22" s="41">
        <f t="shared" si="0"/>
        <v>-656</v>
      </c>
      <c r="Q22" s="233">
        <v>3920</v>
      </c>
      <c r="R22" s="233">
        <v>4160</v>
      </c>
      <c r="S22" s="232">
        <v>0</v>
      </c>
      <c r="T22" s="240">
        <v>910</v>
      </c>
      <c r="U22" s="240">
        <v>910</v>
      </c>
      <c r="V22" s="253">
        <f t="shared" si="3"/>
        <v>0</v>
      </c>
      <c r="W22" s="156">
        <f t="shared" si="1"/>
        <v>0</v>
      </c>
      <c r="X22" s="162">
        <f t="shared" si="2"/>
        <v>-3160</v>
      </c>
      <c r="Y22" s="232"/>
      <c r="Z22" s="157"/>
    </row>
    <row r="23" spans="1:26" ht="40.5" customHeight="1">
      <c r="A23" s="225"/>
      <c r="B23" s="225"/>
      <c r="C23" s="225"/>
      <c r="D23" s="225"/>
      <c r="E23" s="856" t="s">
        <v>125</v>
      </c>
      <c r="F23" s="857"/>
      <c r="G23" s="223">
        <v>182</v>
      </c>
      <c r="H23" s="863" t="s">
        <v>126</v>
      </c>
      <c r="I23" s="863"/>
      <c r="J23" s="863"/>
      <c r="K23" s="864"/>
      <c r="L23" s="864"/>
      <c r="M23" s="233"/>
      <c r="N23" s="233"/>
      <c r="O23" s="233"/>
      <c r="P23" s="41"/>
      <c r="Q23" s="233"/>
      <c r="R23" s="233"/>
      <c r="S23" s="232"/>
      <c r="T23" s="240">
        <v>851</v>
      </c>
      <c r="U23" s="240">
        <v>851</v>
      </c>
      <c r="V23" s="253">
        <f t="shared" si="3"/>
        <v>0</v>
      </c>
      <c r="W23" s="156"/>
      <c r="X23" s="162"/>
      <c r="Y23" s="232"/>
      <c r="Z23" s="157"/>
    </row>
    <row r="24" spans="1:26" ht="39.75" customHeight="1">
      <c r="A24" s="225"/>
      <c r="B24" s="225"/>
      <c r="C24" s="225"/>
      <c r="D24" s="225"/>
      <c r="E24" s="856" t="s">
        <v>210</v>
      </c>
      <c r="F24" s="857"/>
      <c r="G24" s="223" t="s">
        <v>234</v>
      </c>
      <c r="H24" s="863" t="s">
        <v>130</v>
      </c>
      <c r="I24" s="863"/>
      <c r="J24" s="863"/>
      <c r="K24" s="864"/>
      <c r="L24" s="864"/>
      <c r="M24" s="233">
        <v>5800</v>
      </c>
      <c r="N24" s="233">
        <v>5800</v>
      </c>
      <c r="O24" s="233">
        <v>2657</v>
      </c>
      <c r="P24" s="41">
        <f t="shared" si="0"/>
        <v>0</v>
      </c>
      <c r="Q24" s="233">
        <v>6400</v>
      </c>
      <c r="R24" s="233">
        <v>7040</v>
      </c>
      <c r="S24" s="232">
        <v>7000</v>
      </c>
      <c r="T24" s="240">
        <v>5316</v>
      </c>
      <c r="U24" s="240">
        <v>6900</v>
      </c>
      <c r="V24" s="253">
        <f t="shared" si="3"/>
        <v>1584</v>
      </c>
      <c r="W24" s="156">
        <f t="shared" si="1"/>
        <v>1.206896551724138</v>
      </c>
      <c r="X24" s="162">
        <f t="shared" si="2"/>
        <v>1200</v>
      </c>
      <c r="Y24" s="232">
        <v>7000</v>
      </c>
      <c r="Z24" s="157">
        <v>7200</v>
      </c>
    </row>
    <row r="25" spans="1:26" ht="24.75" customHeight="1">
      <c r="A25" s="225"/>
      <c r="B25" s="225"/>
      <c r="C25" s="225"/>
      <c r="D25" s="225"/>
      <c r="E25" s="856" t="s">
        <v>208</v>
      </c>
      <c r="F25" s="857"/>
      <c r="G25" s="223" t="s">
        <v>234</v>
      </c>
      <c r="H25" s="863" t="s">
        <v>58</v>
      </c>
      <c r="I25" s="863"/>
      <c r="J25" s="863"/>
      <c r="K25" s="864"/>
      <c r="L25" s="864"/>
      <c r="M25" s="233">
        <v>1050</v>
      </c>
      <c r="N25" s="233">
        <v>1050</v>
      </c>
      <c r="O25" s="233">
        <v>551</v>
      </c>
      <c r="P25" s="41">
        <f t="shared" si="0"/>
        <v>0</v>
      </c>
      <c r="Q25" s="233">
        <v>1145</v>
      </c>
      <c r="R25" s="233">
        <v>1260</v>
      </c>
      <c r="S25" s="232">
        <v>1200</v>
      </c>
      <c r="T25" s="240">
        <v>1400</v>
      </c>
      <c r="U25" s="240">
        <v>1800</v>
      </c>
      <c r="V25" s="253">
        <f t="shared" si="3"/>
        <v>400</v>
      </c>
      <c r="W25" s="156">
        <f t="shared" si="1"/>
        <v>1.1428571428571428</v>
      </c>
      <c r="X25" s="162">
        <f t="shared" si="2"/>
        <v>150</v>
      </c>
      <c r="Y25" s="232">
        <v>1200</v>
      </c>
      <c r="Z25" s="157">
        <f aca="true" t="shared" si="4" ref="Z25:Z39">Y25*1.2</f>
        <v>1440</v>
      </c>
    </row>
    <row r="26" spans="1:27" s="2" customFormat="1" ht="25.5" customHeight="1">
      <c r="A26" s="865" t="s">
        <v>237</v>
      </c>
      <c r="B26" s="865"/>
      <c r="C26" s="865"/>
      <c r="D26" s="865"/>
      <c r="E26" s="865"/>
      <c r="F26" s="865"/>
      <c r="G26" s="865"/>
      <c r="H26" s="866" t="s">
        <v>238</v>
      </c>
      <c r="I26" s="866"/>
      <c r="J26" s="866"/>
      <c r="K26" s="867"/>
      <c r="L26" s="867"/>
      <c r="M26" s="78" t="e">
        <f>M27+#REF!</f>
        <v>#REF!</v>
      </c>
      <c r="N26" s="78" t="e">
        <f>N27+#REF!</f>
        <v>#REF!</v>
      </c>
      <c r="O26" s="78" t="e">
        <f>O27+#REF!</f>
        <v>#REF!</v>
      </c>
      <c r="P26" s="78" t="e">
        <f t="shared" si="0"/>
        <v>#REF!</v>
      </c>
      <c r="Q26" s="78" t="e">
        <f>Q27+#REF!</f>
        <v>#REF!</v>
      </c>
      <c r="R26" s="78" t="e">
        <f>R27+#REF!</f>
        <v>#REF!</v>
      </c>
      <c r="S26" s="78">
        <f aca="true" t="shared" si="5" ref="S26:U27">S27</f>
        <v>1900</v>
      </c>
      <c r="T26" s="78">
        <f t="shared" si="5"/>
        <v>3500</v>
      </c>
      <c r="U26" s="78">
        <f t="shared" si="5"/>
        <v>3500</v>
      </c>
      <c r="V26" s="253">
        <f t="shared" si="3"/>
        <v>0</v>
      </c>
      <c r="W26" s="151" t="e">
        <f t="shared" si="1"/>
        <v>#REF!</v>
      </c>
      <c r="X26" s="152" t="e">
        <f t="shared" si="2"/>
        <v>#REF!</v>
      </c>
      <c r="Y26" s="39" t="e">
        <f>Y27+#REF!</f>
        <v>#REF!</v>
      </c>
      <c r="Z26" s="157" t="e">
        <f t="shared" si="4"/>
        <v>#REF!</v>
      </c>
      <c r="AA26" s="122"/>
    </row>
    <row r="27" spans="1:27" s="8" customFormat="1" ht="31.5" customHeight="1">
      <c r="A27" s="269"/>
      <c r="B27" s="871" t="s">
        <v>454</v>
      </c>
      <c r="C27" s="871"/>
      <c r="D27" s="871"/>
      <c r="E27" s="871"/>
      <c r="F27" s="871"/>
      <c r="G27" s="871"/>
      <c r="H27" s="869" t="s">
        <v>133</v>
      </c>
      <c r="I27" s="869"/>
      <c r="J27" s="869"/>
      <c r="K27" s="870"/>
      <c r="L27" s="870"/>
      <c r="M27" s="31">
        <f>M28</f>
        <v>1900</v>
      </c>
      <c r="N27" s="31">
        <f>N28</f>
        <v>1600</v>
      </c>
      <c r="O27" s="31">
        <f>O28</f>
        <v>639</v>
      </c>
      <c r="P27" s="41">
        <f t="shared" si="0"/>
        <v>-300</v>
      </c>
      <c r="Q27" s="31">
        <f>Q28</f>
        <v>2100</v>
      </c>
      <c r="R27" s="31">
        <f>R28</f>
        <v>2400</v>
      </c>
      <c r="S27" s="31">
        <f t="shared" si="5"/>
        <v>1900</v>
      </c>
      <c r="T27" s="31">
        <f t="shared" si="5"/>
        <v>3500</v>
      </c>
      <c r="U27" s="31">
        <f t="shared" si="5"/>
        <v>3500</v>
      </c>
      <c r="V27" s="253">
        <f t="shared" si="3"/>
        <v>0</v>
      </c>
      <c r="W27" s="31">
        <f>W28</f>
        <v>1.1875</v>
      </c>
      <c r="X27" s="31">
        <f>X28</f>
        <v>300</v>
      </c>
      <c r="Y27" s="31">
        <f>Y28</f>
        <v>1800</v>
      </c>
      <c r="Z27" s="31">
        <f>Z28</f>
        <v>2160</v>
      </c>
      <c r="AA27" s="123"/>
    </row>
    <row r="28" spans="1:26" ht="57" customHeight="1">
      <c r="A28" s="225"/>
      <c r="B28" s="225"/>
      <c r="C28" s="225"/>
      <c r="D28" s="225"/>
      <c r="E28" s="856" t="s">
        <v>132</v>
      </c>
      <c r="F28" s="857"/>
      <c r="G28" s="223" t="s">
        <v>234</v>
      </c>
      <c r="H28" s="863" t="s">
        <v>131</v>
      </c>
      <c r="I28" s="863"/>
      <c r="J28" s="863"/>
      <c r="K28" s="864"/>
      <c r="L28" s="864"/>
      <c r="M28" s="233">
        <v>1900</v>
      </c>
      <c r="N28" s="233">
        <v>1600</v>
      </c>
      <c r="O28" s="233">
        <v>639</v>
      </c>
      <c r="P28" s="41">
        <f t="shared" si="0"/>
        <v>-300</v>
      </c>
      <c r="Q28" s="233">
        <v>2100</v>
      </c>
      <c r="R28" s="233">
        <v>2400</v>
      </c>
      <c r="S28" s="41">
        <v>1900</v>
      </c>
      <c r="T28" s="41">
        <v>3500</v>
      </c>
      <c r="U28" s="41">
        <v>3500</v>
      </c>
      <c r="V28" s="253">
        <f t="shared" si="3"/>
        <v>0</v>
      </c>
      <c r="W28" s="156">
        <f t="shared" si="1"/>
        <v>1.1875</v>
      </c>
      <c r="X28" s="162">
        <f t="shared" si="2"/>
        <v>300</v>
      </c>
      <c r="Y28" s="41">
        <v>1800</v>
      </c>
      <c r="Z28" s="157">
        <f t="shared" si="4"/>
        <v>2160</v>
      </c>
    </row>
    <row r="29" spans="1:26" ht="22.5" customHeight="1" hidden="1">
      <c r="A29" s="225"/>
      <c r="B29" s="225"/>
      <c r="C29" s="225"/>
      <c r="D29" s="225"/>
      <c r="E29" s="872" t="s">
        <v>384</v>
      </c>
      <c r="F29" s="873"/>
      <c r="G29" s="234"/>
      <c r="H29" s="874">
        <v>10900000000000</v>
      </c>
      <c r="I29" s="874"/>
      <c r="J29" s="874"/>
      <c r="K29" s="235"/>
      <c r="L29" s="235"/>
      <c r="M29" s="236">
        <f>M30</f>
        <v>0</v>
      </c>
      <c r="N29" s="236">
        <f>N30</f>
        <v>0</v>
      </c>
      <c r="O29" s="236">
        <f>O30</f>
        <v>0.3</v>
      </c>
      <c r="P29" s="39">
        <f t="shared" si="0"/>
        <v>0</v>
      </c>
      <c r="Q29" s="236">
        <f>Q30</f>
        <v>0</v>
      </c>
      <c r="R29" s="236">
        <f>R30</f>
        <v>0</v>
      </c>
      <c r="S29" s="236">
        <f>S30</f>
        <v>0</v>
      </c>
      <c r="T29" s="236">
        <f>T30</f>
        <v>0</v>
      </c>
      <c r="U29" s="236">
        <f>U30</f>
        <v>0</v>
      </c>
      <c r="V29" s="253">
        <f t="shared" si="3"/>
        <v>0</v>
      </c>
      <c r="W29" s="151"/>
      <c r="X29" s="152">
        <f t="shared" si="2"/>
        <v>0</v>
      </c>
      <c r="Y29" s="236">
        <f>Y30</f>
        <v>0</v>
      </c>
      <c r="Z29" s="167">
        <f t="shared" si="4"/>
        <v>0</v>
      </c>
    </row>
    <row r="30" spans="1:26" ht="20.25" customHeight="1" hidden="1">
      <c r="A30" s="225"/>
      <c r="B30" s="225"/>
      <c r="C30" s="225"/>
      <c r="D30" s="225"/>
      <c r="E30" s="875" t="s">
        <v>384</v>
      </c>
      <c r="F30" s="876"/>
      <c r="G30" s="237"/>
      <c r="H30" s="877">
        <v>10900000000000</v>
      </c>
      <c r="I30" s="877"/>
      <c r="J30" s="877"/>
      <c r="K30" s="238"/>
      <c r="L30" s="238"/>
      <c r="M30" s="239"/>
      <c r="N30" s="239"/>
      <c r="O30" s="239">
        <v>0.3</v>
      </c>
      <c r="P30" s="41">
        <f t="shared" si="0"/>
        <v>0</v>
      </c>
      <c r="Q30" s="239"/>
      <c r="R30" s="239"/>
      <c r="S30" s="232"/>
      <c r="T30" s="232"/>
      <c r="U30" s="232"/>
      <c r="V30" s="253">
        <f t="shared" si="3"/>
        <v>0</v>
      </c>
      <c r="W30" s="156"/>
      <c r="X30" s="152">
        <f t="shared" si="2"/>
        <v>0</v>
      </c>
      <c r="Y30" s="232"/>
      <c r="Z30" s="157">
        <f t="shared" si="4"/>
        <v>0</v>
      </c>
    </row>
    <row r="31" spans="1:27" s="2" customFormat="1" ht="64.5" customHeight="1">
      <c r="A31" s="865" t="s">
        <v>135</v>
      </c>
      <c r="B31" s="865"/>
      <c r="C31" s="865"/>
      <c r="D31" s="865"/>
      <c r="E31" s="865"/>
      <c r="F31" s="865"/>
      <c r="G31" s="865"/>
      <c r="H31" s="866" t="s">
        <v>134</v>
      </c>
      <c r="I31" s="866"/>
      <c r="J31" s="866"/>
      <c r="K31" s="867"/>
      <c r="L31" s="867"/>
      <c r="M31" s="78" t="e">
        <f>M34+M35</f>
        <v>#REF!</v>
      </c>
      <c r="N31" s="78" t="e">
        <f>N34+N35</f>
        <v>#REF!</v>
      </c>
      <c r="O31" s="78" t="e">
        <f>O34+O35</f>
        <v>#REF!</v>
      </c>
      <c r="P31" s="78" t="e">
        <f t="shared" si="0"/>
        <v>#REF!</v>
      </c>
      <c r="Q31" s="78" t="e">
        <f>Q34+Q35</f>
        <v>#REF!</v>
      </c>
      <c r="R31" s="78" t="e">
        <f>R34+R35</f>
        <v>#REF!</v>
      </c>
      <c r="S31" s="78">
        <f>S32</f>
        <v>13169</v>
      </c>
      <c r="T31" s="78">
        <f>T32</f>
        <v>35682</v>
      </c>
      <c r="U31" s="78">
        <f>U32</f>
        <v>40382</v>
      </c>
      <c r="V31" s="253">
        <f t="shared" si="3"/>
        <v>4700</v>
      </c>
      <c r="W31" s="151" t="e">
        <f aca="true" t="shared" si="6" ref="W31:W49">S31/N31</f>
        <v>#REF!</v>
      </c>
      <c r="X31" s="152" t="e">
        <f t="shared" si="2"/>
        <v>#REF!</v>
      </c>
      <c r="Y31" s="39" t="e">
        <f>Y34+Y35</f>
        <v>#REF!</v>
      </c>
      <c r="Z31" s="167" t="e">
        <f t="shared" si="4"/>
        <v>#REF!</v>
      </c>
      <c r="AA31" s="122"/>
    </row>
    <row r="32" spans="1:26" s="122" customFormat="1" ht="87.75" customHeight="1">
      <c r="A32" s="149"/>
      <c r="B32" s="149"/>
      <c r="C32" s="149"/>
      <c r="D32" s="149"/>
      <c r="E32" s="881" t="s">
        <v>319</v>
      </c>
      <c r="F32" s="882"/>
      <c r="G32" s="149">
        <v>300</v>
      </c>
      <c r="H32" s="869" t="s">
        <v>136</v>
      </c>
      <c r="I32" s="869"/>
      <c r="J32" s="869"/>
      <c r="K32" s="883"/>
      <c r="L32" s="884"/>
      <c r="M32" s="137"/>
      <c r="N32" s="137"/>
      <c r="O32" s="137"/>
      <c r="P32" s="137"/>
      <c r="Q32" s="137"/>
      <c r="R32" s="137"/>
      <c r="S32" s="137">
        <f>S33+S34+S35</f>
        <v>13169</v>
      </c>
      <c r="T32" s="137">
        <f>T33+T34+T35</f>
        <v>35682</v>
      </c>
      <c r="U32" s="137">
        <f>U33+U34+U35</f>
        <v>40382</v>
      </c>
      <c r="V32" s="253">
        <f t="shared" si="3"/>
        <v>4700</v>
      </c>
      <c r="W32" s="168"/>
      <c r="X32" s="169"/>
      <c r="Y32" s="137"/>
      <c r="Z32" s="170"/>
    </row>
    <row r="33" spans="1:27" s="8" customFormat="1" ht="85.5" customHeight="1">
      <c r="A33" s="269"/>
      <c r="B33" s="868" t="s">
        <v>137</v>
      </c>
      <c r="C33" s="868"/>
      <c r="D33" s="868"/>
      <c r="E33" s="868"/>
      <c r="F33" s="868"/>
      <c r="G33" s="868"/>
      <c r="H33" s="869" t="s">
        <v>138</v>
      </c>
      <c r="I33" s="869"/>
      <c r="J33" s="869"/>
      <c r="K33" s="870"/>
      <c r="L33" s="870"/>
      <c r="M33" s="31" t="e">
        <f>M34+M35</f>
        <v>#REF!</v>
      </c>
      <c r="N33" s="31" t="e">
        <f>N34+N35</f>
        <v>#REF!</v>
      </c>
      <c r="O33" s="31" t="e">
        <f>O34+O35</f>
        <v>#REF!</v>
      </c>
      <c r="P33" s="41" t="e">
        <f t="shared" si="0"/>
        <v>#REF!</v>
      </c>
      <c r="Q33" s="31" t="e">
        <f>Q34+Q35</f>
        <v>#REF!</v>
      </c>
      <c r="R33" s="31" t="e">
        <f>R34+R35</f>
        <v>#REF!</v>
      </c>
      <c r="S33" s="31">
        <v>5506</v>
      </c>
      <c r="T33" s="31">
        <f>5900*2</f>
        <v>11800</v>
      </c>
      <c r="U33" s="31">
        <v>16500</v>
      </c>
      <c r="V33" s="253">
        <f t="shared" si="3"/>
        <v>4700</v>
      </c>
      <c r="W33" s="156" t="e">
        <f t="shared" si="6"/>
        <v>#REF!</v>
      </c>
      <c r="X33" s="162" t="e">
        <f t="shared" si="2"/>
        <v>#REF!</v>
      </c>
      <c r="Y33" s="31" t="e">
        <f>Y34+Y35</f>
        <v>#REF!</v>
      </c>
      <c r="Z33" s="157" t="e">
        <f t="shared" si="4"/>
        <v>#REF!</v>
      </c>
      <c r="AA33" s="123"/>
    </row>
    <row r="34" spans="1:27" s="5" customFormat="1" ht="67.5" customHeight="1">
      <c r="A34" s="270"/>
      <c r="B34" s="270"/>
      <c r="C34" s="880" t="s">
        <v>358</v>
      </c>
      <c r="D34" s="880"/>
      <c r="E34" s="880"/>
      <c r="F34" s="880"/>
      <c r="G34" s="880"/>
      <c r="H34" s="878" t="s">
        <v>139</v>
      </c>
      <c r="I34" s="878"/>
      <c r="J34" s="878"/>
      <c r="K34" s="879"/>
      <c r="L34" s="879"/>
      <c r="M34" s="32" t="e">
        <f>#REF!</f>
        <v>#REF!</v>
      </c>
      <c r="N34" s="32" t="e">
        <f>#REF!</f>
        <v>#REF!</v>
      </c>
      <c r="O34" s="32" t="e">
        <f>#REF!</f>
        <v>#REF!</v>
      </c>
      <c r="P34" s="41" t="e">
        <f t="shared" si="0"/>
        <v>#REF!</v>
      </c>
      <c r="Q34" s="32" t="e">
        <f>#REF!</f>
        <v>#REF!</v>
      </c>
      <c r="R34" s="32" t="e">
        <f>#REF!</f>
        <v>#REF!</v>
      </c>
      <c r="S34" s="32">
        <v>7463</v>
      </c>
      <c r="T34" s="32">
        <f>10000*2</f>
        <v>20000</v>
      </c>
      <c r="U34" s="32">
        <f>10000*2</f>
        <v>20000</v>
      </c>
      <c r="V34" s="253">
        <f t="shared" si="3"/>
        <v>0</v>
      </c>
      <c r="W34" s="156" t="e">
        <f t="shared" si="6"/>
        <v>#REF!</v>
      </c>
      <c r="X34" s="162" t="e">
        <f t="shared" si="2"/>
        <v>#REF!</v>
      </c>
      <c r="Y34" s="32" t="e">
        <f>#REF!</f>
        <v>#REF!</v>
      </c>
      <c r="Z34" s="157" t="e">
        <f t="shared" si="4"/>
        <v>#REF!</v>
      </c>
      <c r="AA34" s="124"/>
    </row>
    <row r="35" spans="1:27" s="5" customFormat="1" ht="67.5" customHeight="1">
      <c r="A35" s="270"/>
      <c r="B35" s="270"/>
      <c r="C35" s="880" t="s">
        <v>435</v>
      </c>
      <c r="D35" s="880"/>
      <c r="E35" s="880"/>
      <c r="F35" s="880"/>
      <c r="G35" s="880"/>
      <c r="H35" s="878" t="s">
        <v>140</v>
      </c>
      <c r="I35" s="878"/>
      <c r="J35" s="878"/>
      <c r="K35" s="879"/>
      <c r="L35" s="879"/>
      <c r="M35" s="32">
        <f>M36</f>
        <v>40</v>
      </c>
      <c r="N35" s="32">
        <f>N36</f>
        <v>400</v>
      </c>
      <c r="O35" s="32">
        <f>O36</f>
        <v>357</v>
      </c>
      <c r="P35" s="41">
        <f t="shared" si="0"/>
        <v>360</v>
      </c>
      <c r="Q35" s="32">
        <f>Q36</f>
        <v>60</v>
      </c>
      <c r="R35" s="32">
        <f>R36</f>
        <v>80</v>
      </c>
      <c r="S35" s="32">
        <f>S36</f>
        <v>200</v>
      </c>
      <c r="T35" s="32">
        <f>T36</f>
        <v>3882</v>
      </c>
      <c r="U35" s="32">
        <f>U36</f>
        <v>3882</v>
      </c>
      <c r="V35" s="253">
        <f t="shared" si="3"/>
        <v>0</v>
      </c>
      <c r="W35" s="156">
        <f t="shared" si="6"/>
        <v>0.5</v>
      </c>
      <c r="X35" s="162">
        <f t="shared" si="2"/>
        <v>-200</v>
      </c>
      <c r="Y35" s="32">
        <f>Y36</f>
        <v>91</v>
      </c>
      <c r="Z35" s="157">
        <f t="shared" si="4"/>
        <v>109.2</v>
      </c>
      <c r="AA35" s="124"/>
    </row>
    <row r="36" spans="1:26" ht="63.75" customHeight="1">
      <c r="A36" s="225"/>
      <c r="B36" s="225"/>
      <c r="C36" s="225"/>
      <c r="D36" s="225"/>
      <c r="E36" s="856" t="s">
        <v>178</v>
      </c>
      <c r="F36" s="857"/>
      <c r="G36" s="223" t="s">
        <v>514</v>
      </c>
      <c r="H36" s="863" t="s">
        <v>141</v>
      </c>
      <c r="I36" s="863"/>
      <c r="J36" s="863"/>
      <c r="K36" s="864"/>
      <c r="L36" s="864"/>
      <c r="M36" s="233">
        <v>40</v>
      </c>
      <c r="N36" s="233">
        <v>400</v>
      </c>
      <c r="O36" s="233">
        <v>357</v>
      </c>
      <c r="P36" s="41">
        <f t="shared" si="0"/>
        <v>360</v>
      </c>
      <c r="Q36" s="233">
        <v>60</v>
      </c>
      <c r="R36" s="233">
        <v>80</v>
      </c>
      <c r="S36" s="240">
        <v>200</v>
      </c>
      <c r="T36" s="240">
        <f>1941*2</f>
        <v>3882</v>
      </c>
      <c r="U36" s="240">
        <f>1941*2</f>
        <v>3882</v>
      </c>
      <c r="V36" s="253">
        <f t="shared" si="3"/>
        <v>0</v>
      </c>
      <c r="W36" s="156">
        <f t="shared" si="6"/>
        <v>0.5</v>
      </c>
      <c r="X36" s="162">
        <f t="shared" si="2"/>
        <v>-200</v>
      </c>
      <c r="Y36" s="232">
        <v>91</v>
      </c>
      <c r="Z36" s="157">
        <f t="shared" si="4"/>
        <v>109.2</v>
      </c>
    </row>
    <row r="37" spans="1:27" s="2" customFormat="1" ht="33" customHeight="1">
      <c r="A37" s="865" t="s">
        <v>240</v>
      </c>
      <c r="B37" s="865"/>
      <c r="C37" s="865"/>
      <c r="D37" s="865"/>
      <c r="E37" s="865"/>
      <c r="F37" s="865"/>
      <c r="G37" s="865"/>
      <c r="H37" s="866" t="s">
        <v>142</v>
      </c>
      <c r="I37" s="866"/>
      <c r="J37" s="866"/>
      <c r="K37" s="867"/>
      <c r="L37" s="867"/>
      <c r="M37" s="78">
        <f>M38</f>
        <v>770</v>
      </c>
      <c r="N37" s="78">
        <f>N38</f>
        <v>500</v>
      </c>
      <c r="O37" s="78">
        <f>O38</f>
        <v>192</v>
      </c>
      <c r="P37" s="78">
        <f t="shared" si="0"/>
        <v>-270</v>
      </c>
      <c r="Q37" s="78">
        <f>Q38</f>
        <v>820</v>
      </c>
      <c r="R37" s="78">
        <f>R38</f>
        <v>900</v>
      </c>
      <c r="S37" s="78">
        <f>S38</f>
        <v>639</v>
      </c>
      <c r="T37" s="78">
        <f>T38</f>
        <v>767</v>
      </c>
      <c r="U37" s="78">
        <f>U38</f>
        <v>1500</v>
      </c>
      <c r="V37" s="253">
        <f t="shared" si="3"/>
        <v>733</v>
      </c>
      <c r="W37" s="151">
        <f t="shared" si="6"/>
        <v>1.278</v>
      </c>
      <c r="X37" s="152">
        <f t="shared" si="2"/>
        <v>139</v>
      </c>
      <c r="Y37" s="39">
        <f>Y38</f>
        <v>412</v>
      </c>
      <c r="Z37" s="167">
        <f t="shared" si="4"/>
        <v>494.4</v>
      </c>
      <c r="AA37" s="122"/>
    </row>
    <row r="38" spans="1:26" ht="27" customHeight="1">
      <c r="A38" s="225"/>
      <c r="B38" s="225"/>
      <c r="C38" s="225"/>
      <c r="D38" s="225"/>
      <c r="E38" s="856" t="s">
        <v>146</v>
      </c>
      <c r="F38" s="857"/>
      <c r="G38" s="223" t="s">
        <v>241</v>
      </c>
      <c r="H38" s="863" t="s">
        <v>143</v>
      </c>
      <c r="I38" s="863"/>
      <c r="J38" s="863"/>
      <c r="K38" s="864"/>
      <c r="L38" s="864"/>
      <c r="M38" s="233">
        <v>770</v>
      </c>
      <c r="N38" s="233">
        <v>500</v>
      </c>
      <c r="O38" s="233">
        <v>192</v>
      </c>
      <c r="P38" s="41">
        <f t="shared" si="0"/>
        <v>-270</v>
      </c>
      <c r="Q38" s="233">
        <v>820</v>
      </c>
      <c r="R38" s="233">
        <v>900</v>
      </c>
      <c r="S38" s="232">
        <v>639</v>
      </c>
      <c r="T38" s="232">
        <v>767</v>
      </c>
      <c r="U38" s="232">
        <v>1500</v>
      </c>
      <c r="V38" s="253">
        <f t="shared" si="3"/>
        <v>733</v>
      </c>
      <c r="W38" s="156">
        <f t="shared" si="6"/>
        <v>1.278</v>
      </c>
      <c r="X38" s="162">
        <f t="shared" si="2"/>
        <v>139</v>
      </c>
      <c r="Y38" s="232">
        <v>412</v>
      </c>
      <c r="Z38" s="157">
        <f t="shared" si="4"/>
        <v>494.4</v>
      </c>
    </row>
    <row r="39" spans="1:27" s="2" customFormat="1" ht="30.75" customHeight="1">
      <c r="A39" s="865" t="s">
        <v>490</v>
      </c>
      <c r="B39" s="865"/>
      <c r="C39" s="865"/>
      <c r="D39" s="865"/>
      <c r="E39" s="865"/>
      <c r="F39" s="865"/>
      <c r="G39" s="865"/>
      <c r="H39" s="866" t="s">
        <v>1</v>
      </c>
      <c r="I39" s="866"/>
      <c r="J39" s="866"/>
      <c r="K39" s="867"/>
      <c r="L39" s="867"/>
      <c r="M39" s="78" t="e">
        <f>M40</f>
        <v>#REF!</v>
      </c>
      <c r="N39" s="78" t="e">
        <f>N40</f>
        <v>#REF!</v>
      </c>
      <c r="O39" s="78" t="e">
        <f>O40</f>
        <v>#REF!</v>
      </c>
      <c r="P39" s="78" t="e">
        <f t="shared" si="0"/>
        <v>#REF!</v>
      </c>
      <c r="Q39" s="78" t="e">
        <f>Q40</f>
        <v>#REF!</v>
      </c>
      <c r="R39" s="78" t="e">
        <f>R40</f>
        <v>#REF!</v>
      </c>
      <c r="S39" s="78">
        <f>S40</f>
        <v>2200</v>
      </c>
      <c r="T39" s="78">
        <f>T40</f>
        <v>6300</v>
      </c>
      <c r="U39" s="78">
        <f>U40</f>
        <v>6700</v>
      </c>
      <c r="V39" s="253">
        <f t="shared" si="3"/>
        <v>400</v>
      </c>
      <c r="W39" s="151" t="e">
        <f t="shared" si="6"/>
        <v>#REF!</v>
      </c>
      <c r="X39" s="152" t="e">
        <f t="shared" si="2"/>
        <v>#REF!</v>
      </c>
      <c r="Y39" s="39">
        <f>Y40</f>
        <v>0</v>
      </c>
      <c r="Z39" s="167">
        <f t="shared" si="4"/>
        <v>0</v>
      </c>
      <c r="AA39" s="122"/>
    </row>
    <row r="40" spans="1:27" s="8" customFormat="1" ht="39" customHeight="1">
      <c r="A40" s="269"/>
      <c r="B40" s="868" t="s">
        <v>144</v>
      </c>
      <c r="C40" s="868"/>
      <c r="D40" s="868"/>
      <c r="E40" s="868"/>
      <c r="F40" s="868"/>
      <c r="G40" s="868"/>
      <c r="H40" s="869" t="s">
        <v>0</v>
      </c>
      <c r="I40" s="869"/>
      <c r="J40" s="869"/>
      <c r="K40" s="870"/>
      <c r="L40" s="870"/>
      <c r="M40" s="31" t="e">
        <f>#REF!</f>
        <v>#REF!</v>
      </c>
      <c r="N40" s="31" t="e">
        <f>#REF!</f>
        <v>#REF!</v>
      </c>
      <c r="O40" s="31" t="e">
        <f>#REF!</f>
        <v>#REF!</v>
      </c>
      <c r="P40" s="41" t="e">
        <f t="shared" si="0"/>
        <v>#REF!</v>
      </c>
      <c r="Q40" s="31" t="e">
        <f>#REF!</f>
        <v>#REF!</v>
      </c>
      <c r="R40" s="31" t="e">
        <f>#REF!</f>
        <v>#REF!</v>
      </c>
      <c r="S40" s="31">
        <v>2200</v>
      </c>
      <c r="T40" s="222">
        <v>6300</v>
      </c>
      <c r="U40" s="222">
        <v>6700</v>
      </c>
      <c r="V40" s="253">
        <f t="shared" si="3"/>
        <v>400</v>
      </c>
      <c r="W40" s="156" t="e">
        <f t="shared" si="6"/>
        <v>#REF!</v>
      </c>
      <c r="X40" s="162" t="e">
        <f t="shared" si="2"/>
        <v>#REF!</v>
      </c>
      <c r="Y40" s="31"/>
      <c r="Z40" s="157"/>
      <c r="AA40" s="123"/>
    </row>
    <row r="41" spans="1:27" s="2" customFormat="1" ht="54.75" customHeight="1">
      <c r="A41" s="865" t="s">
        <v>330</v>
      </c>
      <c r="B41" s="865"/>
      <c r="C41" s="865"/>
      <c r="D41" s="865"/>
      <c r="E41" s="865"/>
      <c r="F41" s="865"/>
      <c r="G41" s="865"/>
      <c r="H41" s="866" t="s">
        <v>3</v>
      </c>
      <c r="I41" s="866"/>
      <c r="J41" s="866"/>
      <c r="K41" s="867"/>
      <c r="L41" s="867"/>
      <c r="M41" s="78" t="e">
        <f>M42+M44</f>
        <v>#REF!</v>
      </c>
      <c r="N41" s="78" t="e">
        <f>N42+N44</f>
        <v>#REF!</v>
      </c>
      <c r="O41" s="78" t="e">
        <f>O42+O44</f>
        <v>#REF!</v>
      </c>
      <c r="P41" s="78" t="e">
        <f t="shared" si="0"/>
        <v>#REF!</v>
      </c>
      <c r="Q41" s="78" t="e">
        <f>Q42+Q44</f>
        <v>#REF!</v>
      </c>
      <c r="R41" s="78" t="e">
        <f>R42+R44</f>
        <v>#REF!</v>
      </c>
      <c r="S41" s="78">
        <f>S42+S44</f>
        <v>4525</v>
      </c>
      <c r="T41" s="78">
        <f>T42+T44</f>
        <v>8400</v>
      </c>
      <c r="U41" s="78">
        <f>U42+U44</f>
        <v>15200</v>
      </c>
      <c r="V41" s="253">
        <f t="shared" si="3"/>
        <v>6800</v>
      </c>
      <c r="W41" s="151" t="e">
        <f t="shared" si="6"/>
        <v>#REF!</v>
      </c>
      <c r="X41" s="152" t="e">
        <f t="shared" si="2"/>
        <v>#REF!</v>
      </c>
      <c r="Y41" s="39" t="e">
        <f>Y42+Y44</f>
        <v>#REF!</v>
      </c>
      <c r="Z41" s="167" t="e">
        <f>Y41*1.2</f>
        <v>#REF!</v>
      </c>
      <c r="AA41" s="122"/>
    </row>
    <row r="42" spans="1:27" s="2" customFormat="1" ht="97.5" customHeight="1">
      <c r="A42" s="38"/>
      <c r="B42" s="38"/>
      <c r="C42" s="38"/>
      <c r="D42" s="38"/>
      <c r="E42" s="885" t="s">
        <v>2</v>
      </c>
      <c r="F42" s="885"/>
      <c r="G42" s="885"/>
      <c r="H42" s="877" t="s">
        <v>4</v>
      </c>
      <c r="I42" s="877"/>
      <c r="J42" s="877"/>
      <c r="K42" s="885"/>
      <c r="L42" s="885"/>
      <c r="M42" s="41">
        <f>M43</f>
        <v>0</v>
      </c>
      <c r="N42" s="41">
        <f>N43</f>
        <v>8800</v>
      </c>
      <c r="O42" s="41">
        <f>O43</f>
        <v>10</v>
      </c>
      <c r="P42" s="41">
        <f t="shared" si="0"/>
        <v>8800</v>
      </c>
      <c r="Q42" s="41">
        <f>Q43</f>
        <v>0</v>
      </c>
      <c r="R42" s="41">
        <f>R43</f>
        <v>0</v>
      </c>
      <c r="S42" s="41">
        <f>S43</f>
        <v>0</v>
      </c>
      <c r="T42" s="41"/>
      <c r="U42" s="41"/>
      <c r="V42" s="253">
        <f t="shared" si="3"/>
        <v>0</v>
      </c>
      <c r="W42" s="156">
        <f t="shared" si="6"/>
        <v>0</v>
      </c>
      <c r="X42" s="162">
        <f t="shared" si="2"/>
        <v>-8800</v>
      </c>
      <c r="Y42" s="41">
        <f>Y43</f>
        <v>0</v>
      </c>
      <c r="Z42" s="157">
        <f>Y42*1.2</f>
        <v>0</v>
      </c>
      <c r="AA42" s="122"/>
    </row>
    <row r="43" spans="1:27" s="2" customFormat="1" ht="37.5" customHeight="1" hidden="1">
      <c r="A43" s="38"/>
      <c r="B43" s="38"/>
      <c r="C43" s="38"/>
      <c r="D43" s="38"/>
      <c r="E43" s="885" t="s">
        <v>172</v>
      </c>
      <c r="F43" s="885"/>
      <c r="G43" s="885"/>
      <c r="H43" s="877">
        <v>11402033000000</v>
      </c>
      <c r="I43" s="877"/>
      <c r="J43" s="877"/>
      <c r="K43" s="886">
        <v>410</v>
      </c>
      <c r="L43" s="886"/>
      <c r="M43" s="41"/>
      <c r="N43" s="44">
        <v>8800</v>
      </c>
      <c r="O43" s="41">
        <v>10</v>
      </c>
      <c r="P43" s="41">
        <f t="shared" si="0"/>
        <v>8800</v>
      </c>
      <c r="Q43" s="41"/>
      <c r="R43" s="41"/>
      <c r="S43" s="42">
        <v>0</v>
      </c>
      <c r="T43" s="42">
        <v>0</v>
      </c>
      <c r="U43" s="42">
        <v>0</v>
      </c>
      <c r="V43" s="253">
        <f t="shared" si="3"/>
        <v>0</v>
      </c>
      <c r="W43" s="156">
        <f t="shared" si="6"/>
        <v>0</v>
      </c>
      <c r="X43" s="162">
        <f t="shared" si="2"/>
        <v>-8800</v>
      </c>
      <c r="Y43" s="42">
        <v>0</v>
      </c>
      <c r="Z43" s="157">
        <f>Y43*1.2</f>
        <v>0</v>
      </c>
      <c r="AA43" s="122"/>
    </row>
    <row r="44" spans="1:27" s="8" customFormat="1" ht="36" customHeight="1">
      <c r="A44" s="269"/>
      <c r="B44" s="868" t="s">
        <v>6</v>
      </c>
      <c r="C44" s="868"/>
      <c r="D44" s="868"/>
      <c r="E44" s="868"/>
      <c r="F44" s="868"/>
      <c r="G44" s="868"/>
      <c r="H44" s="869" t="s">
        <v>5</v>
      </c>
      <c r="I44" s="869"/>
      <c r="J44" s="869"/>
      <c r="K44" s="870"/>
      <c r="L44" s="870"/>
      <c r="M44" s="31" t="e">
        <f>#REF!</f>
        <v>#REF!</v>
      </c>
      <c r="N44" s="31" t="e">
        <f>#REF!</f>
        <v>#REF!</v>
      </c>
      <c r="O44" s="31" t="e">
        <f>#REF!</f>
        <v>#REF!</v>
      </c>
      <c r="P44" s="41" t="e">
        <f t="shared" si="0"/>
        <v>#REF!</v>
      </c>
      <c r="Q44" s="31" t="e">
        <f>#REF!</f>
        <v>#REF!</v>
      </c>
      <c r="R44" s="31" t="e">
        <f>#REF!</f>
        <v>#REF!</v>
      </c>
      <c r="S44" s="31">
        <f>S45</f>
        <v>4525</v>
      </c>
      <c r="T44" s="31">
        <f>T45</f>
        <v>8400</v>
      </c>
      <c r="U44" s="31">
        <f>U45</f>
        <v>15200</v>
      </c>
      <c r="V44" s="253">
        <f t="shared" si="3"/>
        <v>6800</v>
      </c>
      <c r="W44" s="156" t="e">
        <f t="shared" si="6"/>
        <v>#REF!</v>
      </c>
      <c r="X44" s="162" t="e">
        <f t="shared" si="2"/>
        <v>#REF!</v>
      </c>
      <c r="Y44" s="31" t="e">
        <f>#REF!</f>
        <v>#REF!</v>
      </c>
      <c r="Z44" s="157" t="e">
        <f>Y44*1.2</f>
        <v>#REF!</v>
      </c>
      <c r="AA44" s="123"/>
    </row>
    <row r="45" spans="1:27" ht="27" customHeight="1">
      <c r="A45" s="225"/>
      <c r="B45" s="225"/>
      <c r="C45" s="225"/>
      <c r="D45" s="225"/>
      <c r="E45" s="856" t="s">
        <v>8</v>
      </c>
      <c r="F45" s="857"/>
      <c r="G45" s="223" t="s">
        <v>239</v>
      </c>
      <c r="H45" s="878" t="s">
        <v>7</v>
      </c>
      <c r="I45" s="878"/>
      <c r="J45" s="878"/>
      <c r="K45" s="864"/>
      <c r="L45" s="864"/>
      <c r="M45" s="233">
        <v>180</v>
      </c>
      <c r="N45" s="233">
        <v>1800</v>
      </c>
      <c r="O45" s="233">
        <v>1717</v>
      </c>
      <c r="P45" s="41">
        <f t="shared" si="0"/>
        <v>1620</v>
      </c>
      <c r="Q45" s="233">
        <v>200</v>
      </c>
      <c r="R45" s="233">
        <v>240</v>
      </c>
      <c r="S45" s="15">
        <v>4525</v>
      </c>
      <c r="T45" s="15">
        <f>4200*2</f>
        <v>8400</v>
      </c>
      <c r="U45" s="15">
        <v>15200</v>
      </c>
      <c r="V45" s="253">
        <f t="shared" si="3"/>
        <v>6800</v>
      </c>
      <c r="W45" s="156">
        <f t="shared" si="6"/>
        <v>2.513888888888889</v>
      </c>
      <c r="X45" s="162">
        <f t="shared" si="2"/>
        <v>2725</v>
      </c>
      <c r="Y45" s="232">
        <v>0</v>
      </c>
      <c r="Z45" s="157">
        <f>Y45*1.2</f>
        <v>0</v>
      </c>
      <c r="AA45" s="277">
        <v>4000</v>
      </c>
    </row>
    <row r="46" spans="1:27" s="2" customFormat="1" ht="25.5" customHeight="1">
      <c r="A46" s="865" t="s">
        <v>331</v>
      </c>
      <c r="B46" s="865"/>
      <c r="C46" s="865"/>
      <c r="D46" s="865"/>
      <c r="E46" s="865"/>
      <c r="F46" s="865"/>
      <c r="G46" s="865"/>
      <c r="H46" s="866" t="s">
        <v>9</v>
      </c>
      <c r="I46" s="866"/>
      <c r="J46" s="866"/>
      <c r="K46" s="867"/>
      <c r="L46" s="867"/>
      <c r="M46" s="78">
        <f>M47+M50+M53+M61+M63+M75+M76+M81</f>
        <v>3445</v>
      </c>
      <c r="N46" s="78">
        <f>N47+N50+N53+N61+N63+N75+N76+N81</f>
        <v>3788</v>
      </c>
      <c r="O46" s="78">
        <f>O47+O50+O53+O61+O63+O75+O76+O81</f>
        <v>1811</v>
      </c>
      <c r="P46" s="78">
        <f t="shared" si="0"/>
        <v>343</v>
      </c>
      <c r="Q46" s="78">
        <f>Q47+Q50+Q53+Q61+Q63+Q75+Q76+Q81</f>
        <v>3821</v>
      </c>
      <c r="R46" s="78">
        <f>R47+R50+R53+R61+R63+R75+R76+R81</f>
        <v>4477</v>
      </c>
      <c r="S46" s="78">
        <f>S47+S50+S53+S61+S63+S75+S76+S81</f>
        <v>4095</v>
      </c>
      <c r="T46" s="78">
        <f>T47+T53+T61+T63+T75+T76+T77+T78+T79+T80</f>
        <v>3330</v>
      </c>
      <c r="U46" s="78">
        <f>U47+U53+U61+U63+U75+U76+U77+U78+U79+U80</f>
        <v>3330</v>
      </c>
      <c r="V46" s="253">
        <f t="shared" si="3"/>
        <v>0</v>
      </c>
      <c r="W46" s="151">
        <f t="shared" si="6"/>
        <v>1.0810454065469906</v>
      </c>
      <c r="X46" s="152">
        <f t="shared" si="2"/>
        <v>307</v>
      </c>
      <c r="Y46" s="39">
        <f>Y47+Y50+Y53+Y61+Y63+Y75+Y76+Y81</f>
        <v>4228</v>
      </c>
      <c r="Z46" s="39">
        <f>Z47+Z50+Z53+Z61+Z63+Z75+Z76+Z81</f>
        <v>5073.6</v>
      </c>
      <c r="AA46" s="122"/>
    </row>
    <row r="47" spans="1:27" s="8" customFormat="1" ht="45" customHeight="1">
      <c r="A47" s="269"/>
      <c r="B47" s="868" t="s">
        <v>11</v>
      </c>
      <c r="C47" s="868"/>
      <c r="D47" s="868"/>
      <c r="E47" s="868"/>
      <c r="F47" s="868"/>
      <c r="G47" s="868"/>
      <c r="H47" s="869" t="s">
        <v>10</v>
      </c>
      <c r="I47" s="869"/>
      <c r="J47" s="869"/>
      <c r="K47" s="870"/>
      <c r="L47" s="870"/>
      <c r="M47" s="40">
        <f>M48+M49</f>
        <v>25</v>
      </c>
      <c r="N47" s="31">
        <f>N48+N49</f>
        <v>22</v>
      </c>
      <c r="O47" s="31">
        <f>O48+O49</f>
        <v>11</v>
      </c>
      <c r="P47" s="41">
        <f t="shared" si="0"/>
        <v>-3</v>
      </c>
      <c r="Q47" s="31">
        <f>Q48+Q49</f>
        <v>31</v>
      </c>
      <c r="R47" s="31">
        <f>R48+R49</f>
        <v>37</v>
      </c>
      <c r="S47" s="31">
        <f>S48+S49</f>
        <v>60</v>
      </c>
      <c r="T47" s="222">
        <f>T48+T52</f>
        <v>2</v>
      </c>
      <c r="U47" s="222">
        <f>U48+U52</f>
        <v>2</v>
      </c>
      <c r="V47" s="253">
        <f t="shared" si="3"/>
        <v>0</v>
      </c>
      <c r="W47" s="156">
        <f t="shared" si="6"/>
        <v>2.727272727272727</v>
      </c>
      <c r="X47" s="162">
        <f t="shared" si="2"/>
        <v>38</v>
      </c>
      <c r="Y47" s="31">
        <f>Y48+Y49</f>
        <v>30</v>
      </c>
      <c r="Z47" s="157">
        <f>Y47*1.2</f>
        <v>36</v>
      </c>
      <c r="AA47" s="123"/>
    </row>
    <row r="48" spans="1:26" ht="49.5" customHeight="1">
      <c r="A48" s="225"/>
      <c r="B48" s="225"/>
      <c r="C48" s="225"/>
      <c r="D48" s="225"/>
      <c r="E48" s="856" t="s">
        <v>12</v>
      </c>
      <c r="F48" s="857"/>
      <c r="G48" s="223" t="s">
        <v>234</v>
      </c>
      <c r="H48" s="863" t="s">
        <v>13</v>
      </c>
      <c r="I48" s="863"/>
      <c r="J48" s="863"/>
      <c r="K48" s="864"/>
      <c r="L48" s="864"/>
      <c r="M48" s="233">
        <v>10</v>
      </c>
      <c r="N48" s="233">
        <v>18</v>
      </c>
      <c r="O48" s="233">
        <v>9</v>
      </c>
      <c r="P48" s="41">
        <f t="shared" si="0"/>
        <v>8</v>
      </c>
      <c r="Q48" s="233">
        <v>11</v>
      </c>
      <c r="R48" s="233">
        <v>12</v>
      </c>
      <c r="S48" s="232">
        <v>60</v>
      </c>
      <c r="T48" s="240"/>
      <c r="U48" s="240"/>
      <c r="V48" s="253">
        <f t="shared" si="3"/>
        <v>0</v>
      </c>
      <c r="W48" s="156">
        <f t="shared" si="6"/>
        <v>3.3333333333333335</v>
      </c>
      <c r="X48" s="162">
        <f t="shared" si="2"/>
        <v>42</v>
      </c>
      <c r="Y48" s="232">
        <v>22</v>
      </c>
      <c r="Z48" s="157">
        <f>Y48*1.2</f>
        <v>26.4</v>
      </c>
    </row>
    <row r="49" spans="1:26" ht="30" customHeight="1" hidden="1">
      <c r="A49" s="225"/>
      <c r="B49" s="225"/>
      <c r="C49" s="225"/>
      <c r="D49" s="225"/>
      <c r="E49" s="856" t="s">
        <v>333</v>
      </c>
      <c r="F49" s="857"/>
      <c r="G49" s="223" t="s">
        <v>234</v>
      </c>
      <c r="H49" s="863" t="s">
        <v>334</v>
      </c>
      <c r="I49" s="863"/>
      <c r="J49" s="863"/>
      <c r="K49" s="864" t="s">
        <v>332</v>
      </c>
      <c r="L49" s="864"/>
      <c r="M49" s="233">
        <v>15</v>
      </c>
      <c r="N49" s="233">
        <v>4</v>
      </c>
      <c r="O49" s="233">
        <v>2</v>
      </c>
      <c r="P49" s="41">
        <f t="shared" si="0"/>
        <v>-11</v>
      </c>
      <c r="Q49" s="233">
        <v>20</v>
      </c>
      <c r="R49" s="233">
        <v>25</v>
      </c>
      <c r="S49" s="232"/>
      <c r="T49" s="240"/>
      <c r="U49" s="240"/>
      <c r="V49" s="253">
        <f t="shared" si="3"/>
        <v>0</v>
      </c>
      <c r="W49" s="156">
        <f t="shared" si="6"/>
        <v>0</v>
      </c>
      <c r="X49" s="162">
        <f t="shared" si="2"/>
        <v>-4</v>
      </c>
      <c r="Y49" s="232">
        <v>8</v>
      </c>
      <c r="Z49" s="157">
        <f>Y49*1.2</f>
        <v>9.6</v>
      </c>
    </row>
    <row r="50" spans="1:27" s="8" customFormat="1" ht="33" customHeight="1" hidden="1">
      <c r="A50" s="269"/>
      <c r="B50" s="868" t="s">
        <v>335</v>
      </c>
      <c r="C50" s="868"/>
      <c r="D50" s="868"/>
      <c r="E50" s="868"/>
      <c r="F50" s="868"/>
      <c r="G50" s="868"/>
      <c r="H50" s="869" t="s">
        <v>336</v>
      </c>
      <c r="I50" s="869"/>
      <c r="J50" s="869"/>
      <c r="K50" s="870"/>
      <c r="L50" s="870"/>
      <c r="M50" s="40">
        <f>M51</f>
        <v>20</v>
      </c>
      <c r="N50" s="31">
        <f>N51</f>
        <v>0</v>
      </c>
      <c r="O50" s="31">
        <f>O51</f>
        <v>0</v>
      </c>
      <c r="P50" s="41">
        <f t="shared" si="0"/>
        <v>-20</v>
      </c>
      <c r="Q50" s="31">
        <f>Q51</f>
        <v>30</v>
      </c>
      <c r="R50" s="31">
        <f>R51</f>
        <v>40</v>
      </c>
      <c r="S50" s="31">
        <f>S51</f>
        <v>0</v>
      </c>
      <c r="T50" s="222">
        <f>T51</f>
        <v>0</v>
      </c>
      <c r="U50" s="222">
        <f>U51</f>
        <v>0</v>
      </c>
      <c r="V50" s="253">
        <f t="shared" si="3"/>
        <v>0</v>
      </c>
      <c r="W50" s="156"/>
      <c r="X50" s="162">
        <f t="shared" si="2"/>
        <v>0</v>
      </c>
      <c r="Y50" s="31">
        <f>Y51</f>
        <v>0</v>
      </c>
      <c r="Z50" s="157">
        <f>Y50*1.2</f>
        <v>0</v>
      </c>
      <c r="AA50" s="123"/>
    </row>
    <row r="51" spans="1:26" ht="43.5" customHeight="1" hidden="1">
      <c r="A51" s="225"/>
      <c r="B51" s="225"/>
      <c r="C51" s="225"/>
      <c r="D51" s="225"/>
      <c r="E51" s="856" t="s">
        <v>338</v>
      </c>
      <c r="F51" s="857"/>
      <c r="G51" s="223" t="s">
        <v>514</v>
      </c>
      <c r="H51" s="863" t="s">
        <v>339</v>
      </c>
      <c r="I51" s="863"/>
      <c r="J51" s="863"/>
      <c r="K51" s="864" t="s">
        <v>332</v>
      </c>
      <c r="L51" s="864"/>
      <c r="M51" s="233">
        <v>20</v>
      </c>
      <c r="N51" s="233"/>
      <c r="O51" s="233"/>
      <c r="P51" s="41">
        <f t="shared" si="0"/>
        <v>-20</v>
      </c>
      <c r="Q51" s="233">
        <v>30</v>
      </c>
      <c r="R51" s="233">
        <v>40</v>
      </c>
      <c r="S51" s="232">
        <v>0</v>
      </c>
      <c r="T51" s="240">
        <v>0</v>
      </c>
      <c r="U51" s="240">
        <v>0</v>
      </c>
      <c r="V51" s="253">
        <f t="shared" si="3"/>
        <v>0</v>
      </c>
      <c r="W51" s="156"/>
      <c r="X51" s="162">
        <f t="shared" si="2"/>
        <v>0</v>
      </c>
      <c r="Y51" s="232"/>
      <c r="Z51" s="157">
        <f>Y51*1.2</f>
        <v>0</v>
      </c>
    </row>
    <row r="52" spans="1:26" ht="62.25" customHeight="1">
      <c r="A52" s="225"/>
      <c r="B52" s="225"/>
      <c r="C52" s="225"/>
      <c r="D52" s="225"/>
      <c r="E52" s="856" t="s">
        <v>14</v>
      </c>
      <c r="F52" s="857"/>
      <c r="G52" s="223" t="s">
        <v>234</v>
      </c>
      <c r="H52" s="863" t="s">
        <v>15</v>
      </c>
      <c r="I52" s="863"/>
      <c r="J52" s="863"/>
      <c r="K52" s="864"/>
      <c r="L52" s="864"/>
      <c r="M52" s="233">
        <v>10</v>
      </c>
      <c r="N52" s="233">
        <v>18</v>
      </c>
      <c r="O52" s="233">
        <v>9</v>
      </c>
      <c r="P52" s="41">
        <f t="shared" si="0"/>
        <v>8</v>
      </c>
      <c r="Q52" s="233">
        <v>11</v>
      </c>
      <c r="R52" s="233">
        <v>12</v>
      </c>
      <c r="S52" s="232">
        <v>60</v>
      </c>
      <c r="T52" s="240">
        <v>2</v>
      </c>
      <c r="U52" s="240">
        <v>2</v>
      </c>
      <c r="V52" s="253">
        <f t="shared" si="3"/>
        <v>0</v>
      </c>
      <c r="W52" s="156"/>
      <c r="X52" s="162"/>
      <c r="Y52" s="232"/>
      <c r="Z52" s="157"/>
    </row>
    <row r="53" spans="1:27" s="8" customFormat="1" ht="73.5" customHeight="1">
      <c r="A53" s="269"/>
      <c r="B53" s="868" t="s">
        <v>16</v>
      </c>
      <c r="C53" s="868"/>
      <c r="D53" s="868"/>
      <c r="E53" s="868"/>
      <c r="F53" s="868"/>
      <c r="G53" s="868"/>
      <c r="H53" s="869" t="s">
        <v>17</v>
      </c>
      <c r="I53" s="869"/>
      <c r="J53" s="869"/>
      <c r="K53" s="870"/>
      <c r="L53" s="870"/>
      <c r="M53" s="40">
        <f>M54+M56+M59+M60</f>
        <v>1290</v>
      </c>
      <c r="N53" s="31">
        <f>N54+N56+N59+N60</f>
        <v>1800</v>
      </c>
      <c r="O53" s="31">
        <f>O54+O56+O59+O60</f>
        <v>892</v>
      </c>
      <c r="P53" s="41">
        <f t="shared" si="0"/>
        <v>510</v>
      </c>
      <c r="Q53" s="31">
        <f>Q54+Q56+Q59+Q60</f>
        <v>1445</v>
      </c>
      <c r="R53" s="31">
        <f>R54+R56+R59+R60</f>
        <v>1730</v>
      </c>
      <c r="S53" s="31">
        <f>S54+S56+S59+S60</f>
        <v>1940</v>
      </c>
      <c r="T53" s="278">
        <f>T54+T55+T56+T57+T58+T59+T60</f>
        <v>602</v>
      </c>
      <c r="U53" s="278">
        <f>U54+U55+U56+U57+U58+U59+U60</f>
        <v>602</v>
      </c>
      <c r="V53" s="253">
        <f t="shared" si="3"/>
        <v>0</v>
      </c>
      <c r="W53" s="156">
        <f>S53/N53</f>
        <v>1.0777777777777777</v>
      </c>
      <c r="X53" s="162">
        <f t="shared" si="2"/>
        <v>140</v>
      </c>
      <c r="Y53" s="31">
        <f>Y54+Y56+Y59+Y60</f>
        <v>2090</v>
      </c>
      <c r="Z53" s="157">
        <f>Y53*1.2</f>
        <v>2508</v>
      </c>
      <c r="AA53" s="123"/>
    </row>
    <row r="54" spans="1:26" ht="54" customHeight="1">
      <c r="A54" s="225"/>
      <c r="B54" s="225"/>
      <c r="C54" s="225"/>
      <c r="D54" s="225"/>
      <c r="E54" s="856" t="s">
        <v>18</v>
      </c>
      <c r="F54" s="857"/>
      <c r="G54" s="223" t="s">
        <v>341</v>
      </c>
      <c r="H54" s="863" t="s">
        <v>114</v>
      </c>
      <c r="I54" s="863"/>
      <c r="J54" s="863"/>
      <c r="K54" s="864"/>
      <c r="L54" s="864"/>
      <c r="M54" s="233">
        <v>65</v>
      </c>
      <c r="N54" s="233">
        <v>150</v>
      </c>
      <c r="O54" s="233">
        <v>78</v>
      </c>
      <c r="P54" s="41">
        <f t="shared" si="0"/>
        <v>85</v>
      </c>
      <c r="Q54" s="233">
        <v>80</v>
      </c>
      <c r="R54" s="233">
        <v>90</v>
      </c>
      <c r="S54" s="232">
        <v>180</v>
      </c>
      <c r="T54" s="240">
        <v>47</v>
      </c>
      <c r="U54" s="240">
        <v>47</v>
      </c>
      <c r="V54" s="253">
        <f t="shared" si="3"/>
        <v>0</v>
      </c>
      <c r="W54" s="156">
        <f>S54/N54</f>
        <v>1.2</v>
      </c>
      <c r="X54" s="162">
        <f t="shared" si="2"/>
        <v>30</v>
      </c>
      <c r="Y54" s="232">
        <v>180</v>
      </c>
      <c r="Z54" s="157">
        <f>Y54*1.2</f>
        <v>216</v>
      </c>
    </row>
    <row r="55" spans="1:26" ht="43.5" customHeight="1" hidden="1">
      <c r="A55" s="225"/>
      <c r="B55" s="225"/>
      <c r="C55" s="225"/>
      <c r="D55" s="225"/>
      <c r="E55" s="856" t="s">
        <v>340</v>
      </c>
      <c r="F55" s="857"/>
      <c r="G55" s="223" t="s">
        <v>66</v>
      </c>
      <c r="H55" s="863" t="s">
        <v>342</v>
      </c>
      <c r="I55" s="863"/>
      <c r="J55" s="863"/>
      <c r="K55" s="864" t="s">
        <v>332</v>
      </c>
      <c r="L55" s="864"/>
      <c r="M55" s="233">
        <v>65</v>
      </c>
      <c r="N55" s="233">
        <v>150</v>
      </c>
      <c r="O55" s="233">
        <v>78</v>
      </c>
      <c r="P55" s="41">
        <f t="shared" si="0"/>
        <v>85</v>
      </c>
      <c r="Q55" s="233">
        <v>80</v>
      </c>
      <c r="R55" s="233">
        <v>90</v>
      </c>
      <c r="S55" s="232">
        <v>180</v>
      </c>
      <c r="T55" s="240"/>
      <c r="U55" s="240"/>
      <c r="V55" s="253">
        <f t="shared" si="3"/>
        <v>0</v>
      </c>
      <c r="W55" s="156"/>
      <c r="X55" s="162"/>
      <c r="Y55" s="232"/>
      <c r="Z55" s="157"/>
    </row>
    <row r="56" spans="1:26" ht="38.25" customHeight="1">
      <c r="A56" s="225"/>
      <c r="B56" s="225"/>
      <c r="C56" s="225"/>
      <c r="D56" s="225"/>
      <c r="E56" s="856" t="s">
        <v>19</v>
      </c>
      <c r="F56" s="857"/>
      <c r="G56" s="223" t="s">
        <v>341</v>
      </c>
      <c r="H56" s="863" t="s">
        <v>20</v>
      </c>
      <c r="I56" s="863"/>
      <c r="J56" s="863"/>
      <c r="K56" s="864"/>
      <c r="L56" s="864"/>
      <c r="M56" s="233">
        <v>810</v>
      </c>
      <c r="N56" s="233">
        <v>1400</v>
      </c>
      <c r="O56" s="233">
        <v>709</v>
      </c>
      <c r="P56" s="41">
        <f t="shared" si="0"/>
        <v>590</v>
      </c>
      <c r="Q56" s="233">
        <v>900</v>
      </c>
      <c r="R56" s="233">
        <v>1100</v>
      </c>
      <c r="S56" s="232">
        <v>1410</v>
      </c>
      <c r="T56" s="240">
        <v>300</v>
      </c>
      <c r="U56" s="240">
        <v>300</v>
      </c>
      <c r="V56" s="253">
        <f t="shared" si="3"/>
        <v>0</v>
      </c>
      <c r="W56" s="156">
        <f>S56/N56</f>
        <v>1.0071428571428571</v>
      </c>
      <c r="X56" s="162">
        <f t="shared" si="2"/>
        <v>10</v>
      </c>
      <c r="Y56" s="232">
        <v>1600</v>
      </c>
      <c r="Z56" s="157">
        <f>Y56*1.2</f>
        <v>1920</v>
      </c>
    </row>
    <row r="57" spans="1:26" ht="29.25" customHeight="1" hidden="1">
      <c r="A57" s="225"/>
      <c r="B57" s="225"/>
      <c r="C57" s="225"/>
      <c r="D57" s="225"/>
      <c r="E57" s="856" t="s">
        <v>436</v>
      </c>
      <c r="F57" s="857"/>
      <c r="G57" s="223" t="s">
        <v>67</v>
      </c>
      <c r="H57" s="863" t="s">
        <v>437</v>
      </c>
      <c r="I57" s="863"/>
      <c r="J57" s="863"/>
      <c r="K57" s="864" t="s">
        <v>332</v>
      </c>
      <c r="L57" s="864"/>
      <c r="M57" s="233">
        <v>810</v>
      </c>
      <c r="N57" s="233">
        <v>1400</v>
      </c>
      <c r="O57" s="233">
        <v>709</v>
      </c>
      <c r="P57" s="41">
        <f t="shared" si="0"/>
        <v>590</v>
      </c>
      <c r="Q57" s="233">
        <v>900</v>
      </c>
      <c r="R57" s="233">
        <v>1100</v>
      </c>
      <c r="S57" s="232">
        <v>1410</v>
      </c>
      <c r="T57" s="240"/>
      <c r="U57" s="240"/>
      <c r="V57" s="253">
        <f t="shared" si="3"/>
        <v>0</v>
      </c>
      <c r="W57" s="156"/>
      <c r="X57" s="162"/>
      <c r="Y57" s="232"/>
      <c r="Z57" s="157"/>
    </row>
    <row r="58" spans="1:26" ht="37.5" customHeight="1" hidden="1">
      <c r="A58" s="225"/>
      <c r="B58" s="225"/>
      <c r="C58" s="225"/>
      <c r="D58" s="225"/>
      <c r="E58" s="856" t="s">
        <v>436</v>
      </c>
      <c r="F58" s="857"/>
      <c r="G58" s="223">
        <v>188</v>
      </c>
      <c r="H58" s="863" t="s">
        <v>437</v>
      </c>
      <c r="I58" s="863"/>
      <c r="J58" s="863"/>
      <c r="K58" s="864" t="s">
        <v>332</v>
      </c>
      <c r="L58" s="864"/>
      <c r="M58" s="233"/>
      <c r="N58" s="233"/>
      <c r="O58" s="233"/>
      <c r="P58" s="41"/>
      <c r="Q58" s="233"/>
      <c r="R58" s="233"/>
      <c r="S58" s="232"/>
      <c r="T58" s="240"/>
      <c r="U58" s="240"/>
      <c r="V58" s="253">
        <f t="shared" si="3"/>
        <v>0</v>
      </c>
      <c r="W58" s="156"/>
      <c r="X58" s="162"/>
      <c r="Y58" s="232"/>
      <c r="Z58" s="157"/>
    </row>
    <row r="59" spans="1:26" ht="28.5" customHeight="1">
      <c r="A59" s="225"/>
      <c r="B59" s="225"/>
      <c r="C59" s="225"/>
      <c r="D59" s="225"/>
      <c r="E59" s="856" t="s">
        <v>21</v>
      </c>
      <c r="F59" s="857"/>
      <c r="G59" s="223" t="s">
        <v>341</v>
      </c>
      <c r="H59" s="863" t="s">
        <v>22</v>
      </c>
      <c r="I59" s="863"/>
      <c r="J59" s="863"/>
      <c r="K59" s="864"/>
      <c r="L59" s="864"/>
      <c r="M59" s="233">
        <v>380</v>
      </c>
      <c r="N59" s="233">
        <v>140</v>
      </c>
      <c r="O59" s="233">
        <v>50</v>
      </c>
      <c r="P59" s="41">
        <f t="shared" si="0"/>
        <v>-240</v>
      </c>
      <c r="Q59" s="233">
        <v>420</v>
      </c>
      <c r="R59" s="233">
        <v>480</v>
      </c>
      <c r="S59" s="232">
        <v>220</v>
      </c>
      <c r="T59" s="240">
        <v>230</v>
      </c>
      <c r="U59" s="240">
        <v>230</v>
      </c>
      <c r="V59" s="253">
        <f t="shared" si="3"/>
        <v>0</v>
      </c>
      <c r="W59" s="156">
        <f aca="true" t="shared" si="7" ref="W59:W64">S59/N59</f>
        <v>1.5714285714285714</v>
      </c>
      <c r="X59" s="162">
        <f t="shared" si="2"/>
        <v>80</v>
      </c>
      <c r="Y59" s="232">
        <v>180</v>
      </c>
      <c r="Z59" s="157">
        <f aca="true" t="shared" si="8" ref="Z59:Z64">Y59*1.2</f>
        <v>216</v>
      </c>
    </row>
    <row r="60" spans="1:26" ht="39" customHeight="1">
      <c r="A60" s="225"/>
      <c r="B60" s="225"/>
      <c r="C60" s="225"/>
      <c r="D60" s="225"/>
      <c r="E60" s="856" t="s">
        <v>24</v>
      </c>
      <c r="F60" s="857"/>
      <c r="G60" s="223" t="s">
        <v>255</v>
      </c>
      <c r="H60" s="863" t="s">
        <v>23</v>
      </c>
      <c r="I60" s="863"/>
      <c r="J60" s="863"/>
      <c r="K60" s="864"/>
      <c r="L60" s="864"/>
      <c r="M60" s="233">
        <v>35</v>
      </c>
      <c r="N60" s="233">
        <v>110</v>
      </c>
      <c r="O60" s="233">
        <v>55</v>
      </c>
      <c r="P60" s="41">
        <f t="shared" si="0"/>
        <v>75</v>
      </c>
      <c r="Q60" s="233">
        <v>45</v>
      </c>
      <c r="R60" s="233">
        <v>60</v>
      </c>
      <c r="S60" s="232">
        <v>130</v>
      </c>
      <c r="T60" s="240">
        <v>25</v>
      </c>
      <c r="U60" s="240">
        <v>25</v>
      </c>
      <c r="V60" s="253">
        <f t="shared" si="3"/>
        <v>0</v>
      </c>
      <c r="W60" s="156">
        <f t="shared" si="7"/>
        <v>1.1818181818181819</v>
      </c>
      <c r="X60" s="162">
        <f t="shared" si="2"/>
        <v>20</v>
      </c>
      <c r="Y60" s="232">
        <v>130</v>
      </c>
      <c r="Z60" s="157">
        <f t="shared" si="8"/>
        <v>156</v>
      </c>
    </row>
    <row r="61" spans="1:27" s="8" customFormat="1" ht="55.5" customHeight="1">
      <c r="A61" s="269"/>
      <c r="B61" s="868" t="s">
        <v>26</v>
      </c>
      <c r="C61" s="868"/>
      <c r="D61" s="868"/>
      <c r="E61" s="868"/>
      <c r="F61" s="868"/>
      <c r="G61" s="868"/>
      <c r="H61" s="869" t="s">
        <v>25</v>
      </c>
      <c r="I61" s="869"/>
      <c r="J61" s="869"/>
      <c r="K61" s="870"/>
      <c r="L61" s="870"/>
      <c r="M61" s="40">
        <f>M62</f>
        <v>150</v>
      </c>
      <c r="N61" s="31">
        <f>N62</f>
        <v>60</v>
      </c>
      <c r="O61" s="31">
        <f>O62</f>
        <v>30</v>
      </c>
      <c r="P61" s="41">
        <f t="shared" si="0"/>
        <v>-90</v>
      </c>
      <c r="Q61" s="31">
        <f>Q62</f>
        <v>160</v>
      </c>
      <c r="R61" s="31">
        <f>R62</f>
        <v>170</v>
      </c>
      <c r="S61" s="31">
        <f>S62</f>
        <v>120</v>
      </c>
      <c r="T61" s="222">
        <f>T62</f>
        <v>60</v>
      </c>
      <c r="U61" s="222">
        <f>U62</f>
        <v>60</v>
      </c>
      <c r="V61" s="253">
        <f t="shared" si="3"/>
        <v>0</v>
      </c>
      <c r="W61" s="156">
        <f t="shared" si="7"/>
        <v>2</v>
      </c>
      <c r="X61" s="162">
        <f t="shared" si="2"/>
        <v>60</v>
      </c>
      <c r="Y61" s="31">
        <f>Y62</f>
        <v>80</v>
      </c>
      <c r="Z61" s="157">
        <f t="shared" si="8"/>
        <v>96</v>
      </c>
      <c r="AA61" s="123"/>
    </row>
    <row r="62" spans="1:26" ht="63.75" customHeight="1">
      <c r="A62" s="225"/>
      <c r="B62" s="225"/>
      <c r="C62" s="225"/>
      <c r="D62" s="225"/>
      <c r="E62" s="856" t="s">
        <v>27</v>
      </c>
      <c r="F62" s="857"/>
      <c r="G62" s="223" t="s">
        <v>256</v>
      </c>
      <c r="H62" s="863" t="s">
        <v>28</v>
      </c>
      <c r="I62" s="863"/>
      <c r="J62" s="863"/>
      <c r="K62" s="864"/>
      <c r="L62" s="864"/>
      <c r="M62" s="233">
        <v>150</v>
      </c>
      <c r="N62" s="233">
        <v>60</v>
      </c>
      <c r="O62" s="233">
        <v>30</v>
      </c>
      <c r="P62" s="41">
        <f t="shared" si="0"/>
        <v>-90</v>
      </c>
      <c r="Q62" s="233">
        <v>160</v>
      </c>
      <c r="R62" s="233">
        <v>170</v>
      </c>
      <c r="S62" s="232">
        <v>120</v>
      </c>
      <c r="T62" s="240">
        <v>60</v>
      </c>
      <c r="U62" s="240">
        <v>60</v>
      </c>
      <c r="V62" s="253">
        <f t="shared" si="3"/>
        <v>0</v>
      </c>
      <c r="W62" s="156">
        <f t="shared" si="7"/>
        <v>2</v>
      </c>
      <c r="X62" s="162">
        <f t="shared" si="2"/>
        <v>60</v>
      </c>
      <c r="Y62" s="232">
        <v>80</v>
      </c>
      <c r="Z62" s="157">
        <f t="shared" si="8"/>
        <v>96</v>
      </c>
    </row>
    <row r="63" spans="1:27" s="8" customFormat="1" ht="42" customHeight="1">
      <c r="A63" s="269"/>
      <c r="B63" s="868" t="s">
        <v>29</v>
      </c>
      <c r="C63" s="868"/>
      <c r="D63" s="868"/>
      <c r="E63" s="868"/>
      <c r="F63" s="868"/>
      <c r="G63" s="868"/>
      <c r="H63" s="869" t="s">
        <v>30</v>
      </c>
      <c r="I63" s="869"/>
      <c r="J63" s="869"/>
      <c r="K63" s="870"/>
      <c r="L63" s="870"/>
      <c r="M63" s="40">
        <f>M64</f>
        <v>1750</v>
      </c>
      <c r="N63" s="31">
        <f>N64</f>
        <v>1800</v>
      </c>
      <c r="O63" s="31">
        <f>O64</f>
        <v>828</v>
      </c>
      <c r="P63" s="41">
        <f t="shared" si="0"/>
        <v>50</v>
      </c>
      <c r="Q63" s="31">
        <f>Q64</f>
        <v>1900</v>
      </c>
      <c r="R63" s="31">
        <f>R64</f>
        <v>2200</v>
      </c>
      <c r="S63" s="31">
        <f>S64</f>
        <v>1800</v>
      </c>
      <c r="T63" s="222">
        <v>2011</v>
      </c>
      <c r="U63" s="222">
        <v>2011</v>
      </c>
      <c r="V63" s="253">
        <f t="shared" si="3"/>
        <v>0</v>
      </c>
      <c r="W63" s="156">
        <f t="shared" si="7"/>
        <v>1</v>
      </c>
      <c r="X63" s="162">
        <f t="shared" si="2"/>
        <v>0</v>
      </c>
      <c r="Y63" s="31">
        <f>Y64</f>
        <v>1900</v>
      </c>
      <c r="Z63" s="157">
        <f t="shared" si="8"/>
        <v>2280</v>
      </c>
      <c r="AA63" s="123"/>
    </row>
    <row r="64" spans="1:26" ht="42" customHeight="1" hidden="1">
      <c r="A64" s="225"/>
      <c r="B64" s="225"/>
      <c r="C64" s="225"/>
      <c r="D64" s="225"/>
      <c r="E64" s="856" t="s">
        <v>257</v>
      </c>
      <c r="F64" s="857"/>
      <c r="G64" s="223" t="s">
        <v>68</v>
      </c>
      <c r="H64" s="863" t="s">
        <v>258</v>
      </c>
      <c r="I64" s="863"/>
      <c r="J64" s="863"/>
      <c r="K64" s="864" t="s">
        <v>332</v>
      </c>
      <c r="L64" s="864"/>
      <c r="M64" s="233">
        <v>1750</v>
      </c>
      <c r="N64" s="233">
        <v>1800</v>
      </c>
      <c r="O64" s="233">
        <v>828</v>
      </c>
      <c r="P64" s="41">
        <f t="shared" si="0"/>
        <v>50</v>
      </c>
      <c r="Q64" s="233">
        <v>1900</v>
      </c>
      <c r="R64" s="233">
        <v>2200</v>
      </c>
      <c r="S64" s="232">
        <v>1800</v>
      </c>
      <c r="T64" s="240">
        <v>70</v>
      </c>
      <c r="U64" s="240">
        <v>70</v>
      </c>
      <c r="V64" s="253">
        <f t="shared" si="3"/>
        <v>0</v>
      </c>
      <c r="W64" s="156">
        <f t="shared" si="7"/>
        <v>1</v>
      </c>
      <c r="X64" s="162">
        <f t="shared" si="2"/>
        <v>0</v>
      </c>
      <c r="Y64" s="232">
        <v>1900</v>
      </c>
      <c r="Z64" s="157">
        <f t="shared" si="8"/>
        <v>2280</v>
      </c>
    </row>
    <row r="65" spans="1:26" ht="27" customHeight="1" hidden="1">
      <c r="A65" s="225"/>
      <c r="B65" s="225"/>
      <c r="C65" s="225"/>
      <c r="D65" s="225"/>
      <c r="E65" s="856" t="s">
        <v>257</v>
      </c>
      <c r="F65" s="857"/>
      <c r="G65" s="223">
        <v>106</v>
      </c>
      <c r="H65" s="863" t="s">
        <v>258</v>
      </c>
      <c r="I65" s="863"/>
      <c r="J65" s="863"/>
      <c r="K65" s="864" t="s">
        <v>332</v>
      </c>
      <c r="L65" s="864"/>
      <c r="M65" s="233">
        <v>1750</v>
      </c>
      <c r="N65" s="233">
        <v>1800</v>
      </c>
      <c r="O65" s="233">
        <v>828</v>
      </c>
      <c r="P65" s="41">
        <f t="shared" si="0"/>
        <v>50</v>
      </c>
      <c r="Q65" s="233">
        <v>1900</v>
      </c>
      <c r="R65" s="233">
        <v>2200</v>
      </c>
      <c r="S65" s="232">
        <v>1800</v>
      </c>
      <c r="T65" s="240"/>
      <c r="U65" s="240"/>
      <c r="V65" s="253">
        <f t="shared" si="3"/>
        <v>0</v>
      </c>
      <c r="W65" s="156"/>
      <c r="X65" s="162"/>
      <c r="Y65" s="232"/>
      <c r="Z65" s="157"/>
    </row>
    <row r="66" spans="1:26" ht="27" customHeight="1" hidden="1">
      <c r="A66" s="225"/>
      <c r="B66" s="225"/>
      <c r="C66" s="225"/>
      <c r="D66" s="225"/>
      <c r="E66" s="856" t="s">
        <v>257</v>
      </c>
      <c r="F66" s="857"/>
      <c r="G66" s="223" t="s">
        <v>68</v>
      </c>
      <c r="H66" s="863" t="s">
        <v>258</v>
      </c>
      <c r="I66" s="863"/>
      <c r="J66" s="863"/>
      <c r="K66" s="864" t="s">
        <v>332</v>
      </c>
      <c r="L66" s="864"/>
      <c r="M66" s="233">
        <v>1750</v>
      </c>
      <c r="N66" s="233">
        <v>1800</v>
      </c>
      <c r="O66" s="233">
        <v>828</v>
      </c>
      <c r="P66" s="41">
        <f t="shared" si="0"/>
        <v>50</v>
      </c>
      <c r="Q66" s="233">
        <v>1900</v>
      </c>
      <c r="R66" s="233">
        <v>2200</v>
      </c>
      <c r="S66" s="232">
        <v>1800</v>
      </c>
      <c r="T66" s="240"/>
      <c r="U66" s="240"/>
      <c r="V66" s="253">
        <f t="shared" si="3"/>
        <v>0</v>
      </c>
      <c r="W66" s="156"/>
      <c r="X66" s="162"/>
      <c r="Y66" s="232"/>
      <c r="Z66" s="157"/>
    </row>
    <row r="67" spans="1:26" ht="39.75" customHeight="1" hidden="1">
      <c r="A67" s="225"/>
      <c r="B67" s="225"/>
      <c r="C67" s="225"/>
      <c r="D67" s="225"/>
      <c r="E67" s="856" t="s">
        <v>257</v>
      </c>
      <c r="F67" s="857"/>
      <c r="G67" s="223">
        <v>182</v>
      </c>
      <c r="H67" s="863" t="s">
        <v>258</v>
      </c>
      <c r="I67" s="863"/>
      <c r="J67" s="863"/>
      <c r="K67" s="864" t="s">
        <v>332</v>
      </c>
      <c r="L67" s="864"/>
      <c r="M67" s="233">
        <v>1750</v>
      </c>
      <c r="N67" s="233">
        <v>1800</v>
      </c>
      <c r="O67" s="233">
        <v>828</v>
      </c>
      <c r="P67" s="41">
        <f t="shared" si="0"/>
        <v>50</v>
      </c>
      <c r="Q67" s="233">
        <v>1900</v>
      </c>
      <c r="R67" s="233">
        <v>2200</v>
      </c>
      <c r="S67" s="232">
        <v>1800</v>
      </c>
      <c r="T67" s="240"/>
      <c r="U67" s="240"/>
      <c r="V67" s="253">
        <f t="shared" si="3"/>
        <v>0</v>
      </c>
      <c r="W67" s="156"/>
      <c r="X67" s="162"/>
      <c r="Y67" s="232"/>
      <c r="Z67" s="157"/>
    </row>
    <row r="68" spans="1:26" ht="33.75" customHeight="1" hidden="1">
      <c r="A68" s="225"/>
      <c r="B68" s="225"/>
      <c r="C68" s="225"/>
      <c r="D68" s="225"/>
      <c r="E68" s="856" t="s">
        <v>257</v>
      </c>
      <c r="F68" s="857"/>
      <c r="G68" s="223">
        <v>188</v>
      </c>
      <c r="H68" s="863" t="s">
        <v>258</v>
      </c>
      <c r="I68" s="863"/>
      <c r="J68" s="863"/>
      <c r="K68" s="864" t="s">
        <v>332</v>
      </c>
      <c r="L68" s="864"/>
      <c r="M68" s="233">
        <v>1750</v>
      </c>
      <c r="N68" s="233">
        <v>1800</v>
      </c>
      <c r="O68" s="233">
        <v>828</v>
      </c>
      <c r="P68" s="41">
        <f t="shared" si="0"/>
        <v>50</v>
      </c>
      <c r="Q68" s="233">
        <v>1900</v>
      </c>
      <c r="R68" s="233">
        <v>2200</v>
      </c>
      <c r="S68" s="232">
        <v>1800</v>
      </c>
      <c r="T68" s="240"/>
      <c r="U68" s="240"/>
      <c r="V68" s="253">
        <f t="shared" si="3"/>
        <v>0</v>
      </c>
      <c r="W68" s="156"/>
      <c r="X68" s="162"/>
      <c r="Y68" s="232"/>
      <c r="Z68" s="157"/>
    </row>
    <row r="69" spans="1:26" ht="33.75" customHeight="1" hidden="1">
      <c r="A69" s="225"/>
      <c r="B69" s="225"/>
      <c r="C69" s="225"/>
      <c r="D69" s="225"/>
      <c r="E69" s="856" t="s">
        <v>257</v>
      </c>
      <c r="F69" s="857"/>
      <c r="G69" s="223">
        <v>192</v>
      </c>
      <c r="H69" s="863" t="s">
        <v>258</v>
      </c>
      <c r="I69" s="863"/>
      <c r="J69" s="863"/>
      <c r="K69" s="864" t="s">
        <v>332</v>
      </c>
      <c r="L69" s="864"/>
      <c r="M69" s="233">
        <v>1750</v>
      </c>
      <c r="N69" s="233">
        <v>1800</v>
      </c>
      <c r="O69" s="233">
        <v>828</v>
      </c>
      <c r="P69" s="41">
        <f t="shared" si="0"/>
        <v>50</v>
      </c>
      <c r="Q69" s="233">
        <v>1900</v>
      </c>
      <c r="R69" s="233">
        <v>2200</v>
      </c>
      <c r="S69" s="232">
        <v>1800</v>
      </c>
      <c r="T69" s="240"/>
      <c r="U69" s="240"/>
      <c r="V69" s="253">
        <f t="shared" si="3"/>
        <v>0</v>
      </c>
      <c r="W69" s="156"/>
      <c r="X69" s="162"/>
      <c r="Y69" s="232"/>
      <c r="Z69" s="157"/>
    </row>
    <row r="70" spans="1:26" ht="33.75" customHeight="1" hidden="1">
      <c r="A70" s="225"/>
      <c r="B70" s="225"/>
      <c r="C70" s="225"/>
      <c r="D70" s="225"/>
      <c r="E70" s="856" t="s">
        <v>257</v>
      </c>
      <c r="F70" s="857"/>
      <c r="G70" s="223" t="s">
        <v>67</v>
      </c>
      <c r="H70" s="863" t="s">
        <v>258</v>
      </c>
      <c r="I70" s="863"/>
      <c r="J70" s="863"/>
      <c r="K70" s="864" t="s">
        <v>332</v>
      </c>
      <c r="L70" s="864"/>
      <c r="M70" s="233">
        <v>1750</v>
      </c>
      <c r="N70" s="233">
        <v>1800</v>
      </c>
      <c r="O70" s="233">
        <v>828</v>
      </c>
      <c r="P70" s="41">
        <f t="shared" si="0"/>
        <v>50</v>
      </c>
      <c r="Q70" s="233">
        <v>1900</v>
      </c>
      <c r="R70" s="233">
        <v>2200</v>
      </c>
      <c r="S70" s="232">
        <v>1800</v>
      </c>
      <c r="T70" s="240"/>
      <c r="U70" s="240"/>
      <c r="V70" s="253">
        <f t="shared" si="3"/>
        <v>0</v>
      </c>
      <c r="W70" s="156"/>
      <c r="X70" s="162"/>
      <c r="Y70" s="232"/>
      <c r="Z70" s="157"/>
    </row>
    <row r="71" spans="1:26" ht="33.75" customHeight="1" hidden="1">
      <c r="A71" s="225"/>
      <c r="B71" s="225"/>
      <c r="C71" s="225"/>
      <c r="D71" s="225"/>
      <c r="E71" s="856" t="s">
        <v>257</v>
      </c>
      <c r="F71" s="857"/>
      <c r="G71" s="223">
        <v>300</v>
      </c>
      <c r="H71" s="863" t="s">
        <v>258</v>
      </c>
      <c r="I71" s="863"/>
      <c r="J71" s="863"/>
      <c r="K71" s="864" t="s">
        <v>332</v>
      </c>
      <c r="L71" s="864"/>
      <c r="M71" s="233">
        <v>1750</v>
      </c>
      <c r="N71" s="233">
        <v>1800</v>
      </c>
      <c r="O71" s="233">
        <v>828</v>
      </c>
      <c r="P71" s="41">
        <f t="shared" si="0"/>
        <v>50</v>
      </c>
      <c r="Q71" s="233">
        <v>1900</v>
      </c>
      <c r="R71" s="233">
        <v>2200</v>
      </c>
      <c r="S71" s="232">
        <v>1800</v>
      </c>
      <c r="T71" s="240"/>
      <c r="U71" s="240"/>
      <c r="V71" s="253">
        <f t="shared" si="3"/>
        <v>0</v>
      </c>
      <c r="W71" s="156"/>
      <c r="X71" s="162"/>
      <c r="Y71" s="232"/>
      <c r="Z71" s="157"/>
    </row>
    <row r="72" spans="1:26" ht="42" customHeight="1" hidden="1">
      <c r="A72" s="225"/>
      <c r="B72" s="225"/>
      <c r="C72" s="225"/>
      <c r="D72" s="225"/>
      <c r="E72" s="856" t="s">
        <v>320</v>
      </c>
      <c r="F72" s="857"/>
      <c r="G72" s="237">
        <v>177</v>
      </c>
      <c r="H72" s="887" t="s">
        <v>258</v>
      </c>
      <c r="I72" s="887"/>
      <c r="J72" s="887"/>
      <c r="K72" s="888" t="s">
        <v>332</v>
      </c>
      <c r="L72" s="888"/>
      <c r="M72" s="239">
        <v>1300</v>
      </c>
      <c r="N72" s="239">
        <v>957</v>
      </c>
      <c r="O72" s="239">
        <v>386</v>
      </c>
      <c r="P72" s="41">
        <f t="shared" si="0"/>
        <v>-343</v>
      </c>
      <c r="Q72" s="239">
        <v>1400</v>
      </c>
      <c r="R72" s="239">
        <v>1500</v>
      </c>
      <c r="S72" s="240">
        <v>110</v>
      </c>
      <c r="T72" s="240"/>
      <c r="U72" s="240"/>
      <c r="V72" s="253">
        <f t="shared" si="3"/>
        <v>0</v>
      </c>
      <c r="W72" s="156">
        <f>S72/N72</f>
        <v>0.11494252873563218</v>
      </c>
      <c r="X72" s="162">
        <f>S72-N72</f>
        <v>-847</v>
      </c>
      <c r="Y72" s="232">
        <v>1050</v>
      </c>
      <c r="Z72" s="157">
        <f>Y72*1.2</f>
        <v>1260</v>
      </c>
    </row>
    <row r="73" spans="1:26" ht="42" customHeight="1" hidden="1">
      <c r="A73" s="225"/>
      <c r="B73" s="225"/>
      <c r="C73" s="225"/>
      <c r="D73" s="225"/>
      <c r="E73" s="856" t="s">
        <v>69</v>
      </c>
      <c r="F73" s="857"/>
      <c r="G73" s="237">
        <v>885</v>
      </c>
      <c r="H73" s="887" t="s">
        <v>258</v>
      </c>
      <c r="I73" s="887"/>
      <c r="J73" s="887"/>
      <c r="K73" s="888" t="s">
        <v>332</v>
      </c>
      <c r="L73" s="888"/>
      <c r="M73" s="239">
        <v>1300</v>
      </c>
      <c r="N73" s="239">
        <v>957</v>
      </c>
      <c r="O73" s="239">
        <v>386</v>
      </c>
      <c r="P73" s="41">
        <f t="shared" si="0"/>
        <v>-343</v>
      </c>
      <c r="Q73" s="239">
        <v>1400</v>
      </c>
      <c r="R73" s="239">
        <v>1500</v>
      </c>
      <c r="S73" s="240">
        <v>110</v>
      </c>
      <c r="T73" s="240"/>
      <c r="U73" s="240"/>
      <c r="V73" s="253">
        <f t="shared" si="3"/>
        <v>0</v>
      </c>
      <c r="W73" s="156">
        <f>S73/N73</f>
        <v>0.11494252873563218</v>
      </c>
      <c r="X73" s="162">
        <f>S73-N73</f>
        <v>-847</v>
      </c>
      <c r="Y73" s="232">
        <v>1050</v>
      </c>
      <c r="Z73" s="157">
        <f>Y73*1.2</f>
        <v>1260</v>
      </c>
    </row>
    <row r="74" spans="1:26" ht="42" customHeight="1" hidden="1">
      <c r="A74" s="225"/>
      <c r="B74" s="225"/>
      <c r="C74" s="225"/>
      <c r="D74" s="225"/>
      <c r="E74" s="856" t="s">
        <v>69</v>
      </c>
      <c r="F74" s="857"/>
      <c r="G74" s="237">
        <v>891</v>
      </c>
      <c r="H74" s="887" t="s">
        <v>258</v>
      </c>
      <c r="I74" s="887"/>
      <c r="J74" s="887"/>
      <c r="K74" s="888" t="s">
        <v>332</v>
      </c>
      <c r="L74" s="888"/>
      <c r="M74" s="239">
        <v>1300</v>
      </c>
      <c r="N74" s="239">
        <v>957</v>
      </c>
      <c r="O74" s="239">
        <v>386</v>
      </c>
      <c r="P74" s="41">
        <f t="shared" si="0"/>
        <v>-343</v>
      </c>
      <c r="Q74" s="239">
        <v>1400</v>
      </c>
      <c r="R74" s="239">
        <v>1500</v>
      </c>
      <c r="S74" s="240">
        <v>110</v>
      </c>
      <c r="T74" s="240"/>
      <c r="U74" s="240"/>
      <c r="V74" s="253">
        <f t="shared" si="3"/>
        <v>0</v>
      </c>
      <c r="W74" s="156"/>
      <c r="X74" s="162"/>
      <c r="Y74" s="232"/>
      <c r="Z74" s="157"/>
    </row>
    <row r="75" spans="1:26" ht="65.25" customHeight="1">
      <c r="A75" s="225"/>
      <c r="B75" s="225"/>
      <c r="C75" s="225"/>
      <c r="D75" s="225"/>
      <c r="E75" s="856" t="s">
        <v>31</v>
      </c>
      <c r="F75" s="857"/>
      <c r="G75" s="223" t="s">
        <v>234</v>
      </c>
      <c r="H75" s="863" t="s">
        <v>32</v>
      </c>
      <c r="I75" s="863"/>
      <c r="J75" s="863"/>
      <c r="K75" s="864"/>
      <c r="L75" s="864"/>
      <c r="M75" s="241">
        <v>60</v>
      </c>
      <c r="N75" s="233">
        <v>6</v>
      </c>
      <c r="O75" s="233">
        <v>3</v>
      </c>
      <c r="P75" s="41">
        <f t="shared" si="0"/>
        <v>-54</v>
      </c>
      <c r="Q75" s="233">
        <v>75</v>
      </c>
      <c r="R75" s="233">
        <v>90</v>
      </c>
      <c r="S75" s="232">
        <v>55</v>
      </c>
      <c r="T75" s="240">
        <v>45</v>
      </c>
      <c r="U75" s="240">
        <v>45</v>
      </c>
      <c r="V75" s="253">
        <f t="shared" si="3"/>
        <v>0</v>
      </c>
      <c r="W75" s="156">
        <f>S75/N75</f>
        <v>9.166666666666666</v>
      </c>
      <c r="X75" s="162">
        <f t="shared" si="2"/>
        <v>49</v>
      </c>
      <c r="Y75" s="232">
        <v>8</v>
      </c>
      <c r="Z75" s="157">
        <f>Y75*1.2</f>
        <v>9.6</v>
      </c>
    </row>
    <row r="76" spans="1:26" ht="61.5" customHeight="1">
      <c r="A76" s="225"/>
      <c r="B76" s="225"/>
      <c r="C76" s="225"/>
      <c r="D76" s="225"/>
      <c r="E76" s="856" t="s">
        <v>33</v>
      </c>
      <c r="F76" s="857"/>
      <c r="G76" s="223" t="s">
        <v>260</v>
      </c>
      <c r="H76" s="863" t="s">
        <v>34</v>
      </c>
      <c r="I76" s="863"/>
      <c r="J76" s="863"/>
      <c r="K76" s="864"/>
      <c r="L76" s="864"/>
      <c r="M76" s="241">
        <v>150</v>
      </c>
      <c r="N76" s="233">
        <v>100</v>
      </c>
      <c r="O76" s="233">
        <v>47</v>
      </c>
      <c r="P76" s="41">
        <f t="shared" si="0"/>
        <v>-50</v>
      </c>
      <c r="Q76" s="233">
        <v>180</v>
      </c>
      <c r="R76" s="233">
        <v>210</v>
      </c>
      <c r="S76" s="232">
        <v>120</v>
      </c>
      <c r="T76" s="240">
        <v>450</v>
      </c>
      <c r="U76" s="240">
        <v>450</v>
      </c>
      <c r="V76" s="253">
        <f t="shared" si="3"/>
        <v>0</v>
      </c>
      <c r="W76" s="156">
        <f>S76/N76</f>
        <v>1.2</v>
      </c>
      <c r="X76" s="162">
        <f t="shared" si="2"/>
        <v>20</v>
      </c>
      <c r="Y76" s="232">
        <v>120</v>
      </c>
      <c r="Z76" s="157">
        <f>Y76*1.2</f>
        <v>144</v>
      </c>
    </row>
    <row r="77" spans="1:26" ht="51.75" customHeight="1">
      <c r="A77" s="225"/>
      <c r="B77" s="225"/>
      <c r="C77" s="225"/>
      <c r="D77" s="225"/>
      <c r="E77" s="856" t="s">
        <v>35</v>
      </c>
      <c r="F77" s="857"/>
      <c r="G77" s="223" t="s">
        <v>67</v>
      </c>
      <c r="H77" s="863" t="s">
        <v>36</v>
      </c>
      <c r="I77" s="863"/>
      <c r="J77" s="863"/>
      <c r="K77" s="864"/>
      <c r="L77" s="864"/>
      <c r="M77" s="241">
        <v>1300</v>
      </c>
      <c r="N77" s="233">
        <v>957</v>
      </c>
      <c r="O77" s="233">
        <v>386</v>
      </c>
      <c r="P77" s="41">
        <f t="shared" si="0"/>
        <v>-343</v>
      </c>
      <c r="Q77" s="233">
        <v>1400</v>
      </c>
      <c r="R77" s="233">
        <v>1500</v>
      </c>
      <c r="S77" s="15">
        <v>110</v>
      </c>
      <c r="T77" s="240">
        <v>160</v>
      </c>
      <c r="U77" s="240">
        <v>160</v>
      </c>
      <c r="V77" s="253">
        <f t="shared" si="3"/>
        <v>0</v>
      </c>
      <c r="W77" s="156"/>
      <c r="X77" s="162"/>
      <c r="Y77" s="232"/>
      <c r="Z77" s="157"/>
    </row>
    <row r="78" spans="1:26" ht="46.5" customHeight="1" hidden="1">
      <c r="A78" s="225"/>
      <c r="B78" s="225"/>
      <c r="C78" s="225"/>
      <c r="D78" s="225"/>
      <c r="E78" s="856" t="s">
        <v>320</v>
      </c>
      <c r="F78" s="857"/>
      <c r="G78" s="223">
        <v>188</v>
      </c>
      <c r="H78" s="863">
        <v>11643000010000</v>
      </c>
      <c r="I78" s="863"/>
      <c r="J78" s="863"/>
      <c r="K78" s="864" t="s">
        <v>332</v>
      </c>
      <c r="L78" s="864"/>
      <c r="M78" s="241"/>
      <c r="N78" s="233"/>
      <c r="O78" s="233"/>
      <c r="P78" s="41"/>
      <c r="Q78" s="233"/>
      <c r="R78" s="233"/>
      <c r="S78" s="15"/>
      <c r="T78" s="240"/>
      <c r="U78" s="240"/>
      <c r="V78" s="253">
        <f aca="true" t="shared" si="9" ref="V78:V141">U78-T78</f>
        <v>0</v>
      </c>
      <c r="W78" s="156"/>
      <c r="X78" s="162"/>
      <c r="Y78" s="232"/>
      <c r="Z78" s="157"/>
    </row>
    <row r="79" spans="1:26" ht="46.5" customHeight="1" hidden="1">
      <c r="A79" s="225"/>
      <c r="B79" s="225"/>
      <c r="C79" s="225"/>
      <c r="D79" s="225"/>
      <c r="E79" s="856" t="s">
        <v>259</v>
      </c>
      <c r="F79" s="857"/>
      <c r="G79" s="223">
        <v>188</v>
      </c>
      <c r="H79" s="863">
        <v>11630030016000</v>
      </c>
      <c r="I79" s="863"/>
      <c r="J79" s="863"/>
      <c r="K79" s="864" t="s">
        <v>332</v>
      </c>
      <c r="L79" s="864"/>
      <c r="M79" s="241">
        <v>150</v>
      </c>
      <c r="N79" s="233">
        <v>100</v>
      </c>
      <c r="O79" s="233">
        <v>47</v>
      </c>
      <c r="P79" s="41">
        <f>N79-M79</f>
        <v>-50</v>
      </c>
      <c r="Q79" s="233">
        <v>180</v>
      </c>
      <c r="R79" s="233">
        <v>210</v>
      </c>
      <c r="S79" s="232">
        <v>120</v>
      </c>
      <c r="T79" s="240"/>
      <c r="U79" s="240"/>
      <c r="V79" s="253">
        <f t="shared" si="9"/>
        <v>0</v>
      </c>
      <c r="W79" s="156"/>
      <c r="X79" s="162"/>
      <c r="Y79" s="232"/>
      <c r="Z79" s="157"/>
    </row>
    <row r="80" spans="1:26" ht="46.5" customHeight="1" hidden="1">
      <c r="A80" s="225"/>
      <c r="B80" s="225"/>
      <c r="C80" s="225"/>
      <c r="D80" s="225"/>
      <c r="E80" s="856" t="s">
        <v>259</v>
      </c>
      <c r="F80" s="857"/>
      <c r="G80" s="223">
        <v>321</v>
      </c>
      <c r="H80" s="863">
        <v>11625060016000</v>
      </c>
      <c r="I80" s="863"/>
      <c r="J80" s="863"/>
      <c r="K80" s="895">
        <v>140</v>
      </c>
      <c r="L80" s="896"/>
      <c r="M80" s="241"/>
      <c r="N80" s="233"/>
      <c r="O80" s="233"/>
      <c r="P80" s="41"/>
      <c r="Q80" s="233"/>
      <c r="R80" s="233"/>
      <c r="S80" s="232"/>
      <c r="T80" s="240"/>
      <c r="U80" s="240"/>
      <c r="V80" s="253">
        <f t="shared" si="9"/>
        <v>0</v>
      </c>
      <c r="W80" s="156"/>
      <c r="X80" s="162"/>
      <c r="Y80" s="232"/>
      <c r="Z80" s="157"/>
    </row>
    <row r="81" spans="1:26" ht="42" customHeight="1" hidden="1">
      <c r="A81" s="225"/>
      <c r="B81" s="225"/>
      <c r="C81" s="225"/>
      <c r="D81" s="225"/>
      <c r="E81" s="856"/>
      <c r="F81" s="857"/>
      <c r="G81" s="242"/>
      <c r="H81" s="897"/>
      <c r="I81" s="897"/>
      <c r="J81" s="897"/>
      <c r="K81" s="898"/>
      <c r="L81" s="898"/>
      <c r="M81" s="243"/>
      <c r="N81" s="243"/>
      <c r="O81" s="243"/>
      <c r="P81" s="224"/>
      <c r="Q81" s="243"/>
      <c r="R81" s="243"/>
      <c r="S81" s="244"/>
      <c r="T81" s="244"/>
      <c r="U81" s="244"/>
      <c r="V81" s="253">
        <f t="shared" si="9"/>
        <v>0</v>
      </c>
      <c r="W81" s="156"/>
      <c r="X81" s="162"/>
      <c r="Y81" s="232"/>
      <c r="Z81" s="157"/>
    </row>
    <row r="82" spans="1:26" ht="42" customHeight="1" hidden="1">
      <c r="A82" s="225"/>
      <c r="B82" s="225"/>
      <c r="C82" s="225"/>
      <c r="D82" s="225"/>
      <c r="E82" s="890" t="s">
        <v>513</v>
      </c>
      <c r="F82" s="891"/>
      <c r="G82" s="223"/>
      <c r="H82" s="869">
        <v>11700000000000</v>
      </c>
      <c r="I82" s="869"/>
      <c r="J82" s="869"/>
      <c r="K82" s="268"/>
      <c r="L82" s="268"/>
      <c r="M82" s="241"/>
      <c r="N82" s="233"/>
      <c r="O82" s="233">
        <v>-673</v>
      </c>
      <c r="P82" s="239"/>
      <c r="Q82" s="233"/>
      <c r="R82" s="233"/>
      <c r="S82" s="232"/>
      <c r="T82" s="232"/>
      <c r="U82" s="232"/>
      <c r="V82" s="253">
        <f t="shared" si="9"/>
        <v>0</v>
      </c>
      <c r="W82" s="156"/>
      <c r="X82" s="152">
        <f t="shared" si="2"/>
        <v>0</v>
      </c>
      <c r="Y82" s="232"/>
      <c r="Z82" s="157">
        <f>Y82*1.2</f>
        <v>0</v>
      </c>
    </row>
    <row r="83" spans="1:26" ht="27" customHeight="1">
      <c r="A83" s="245"/>
      <c r="B83" s="245"/>
      <c r="C83" s="245"/>
      <c r="D83" s="245"/>
      <c r="E83" s="892" t="s">
        <v>375</v>
      </c>
      <c r="F83" s="893"/>
      <c r="G83" s="205"/>
      <c r="H83" s="894"/>
      <c r="I83" s="894"/>
      <c r="J83" s="894"/>
      <c r="K83" s="889"/>
      <c r="L83" s="889"/>
      <c r="M83" s="206" t="e">
        <f>M13+M19+M26+M31+M37+M41+M46+M39+M29</f>
        <v>#REF!</v>
      </c>
      <c r="N83" s="206" t="e">
        <f>N13+N19+N26+N31+N37+N41+N46+N39+N29</f>
        <v>#REF!</v>
      </c>
      <c r="O83" s="206" t="e">
        <f>O13+O19+O26+O31+O37+O41+O46+O39+O29+O82</f>
        <v>#REF!</v>
      </c>
      <c r="P83" s="206" t="e">
        <f>P13+P19+P26+P31+P37+P41+P46+P39+P29+P82</f>
        <v>#REF!</v>
      </c>
      <c r="Q83" s="206" t="e">
        <f>Q13+Q19+Q26+Q31+Q37+Q41+Q46+Q39+Q29</f>
        <v>#REF!</v>
      </c>
      <c r="R83" s="206" t="e">
        <f>R13+R19+R26+R31+R37+R41+R46+R39+R29</f>
        <v>#REF!</v>
      </c>
      <c r="S83" s="206">
        <f>S13+S19+S26+S31+S37+S41+S46+S39+S29+S82</f>
        <v>175157</v>
      </c>
      <c r="T83" s="206">
        <f>T13+T19+T26+T31+T37+T41+T46+T39+T29+T82</f>
        <v>212930</v>
      </c>
      <c r="U83" s="285">
        <f>U13+U19+U26+U31+U37+U41+U46+U39+U29+U82</f>
        <v>252167</v>
      </c>
      <c r="V83" s="253">
        <f t="shared" si="9"/>
        <v>39237</v>
      </c>
      <c r="W83" s="171" t="e">
        <f>S83/N83</f>
        <v>#REF!</v>
      </c>
      <c r="X83" s="172" t="e">
        <f t="shared" si="2"/>
        <v>#REF!</v>
      </c>
      <c r="Y83" s="173" t="e">
        <f>Y13+Y19+Y26+Y31+Y37+Y41+Y46+Y39+Y29+Y82</f>
        <v>#REF!</v>
      </c>
      <c r="Z83" s="173" t="e">
        <f>Z13+Z19+Z26+Z31+Z37+Z41+Z46+Z39+Z29+Z82</f>
        <v>#REF!</v>
      </c>
    </row>
    <row r="84" spans="1:31" s="2" customFormat="1" ht="39.75" customHeight="1">
      <c r="A84" s="845" t="s">
        <v>38</v>
      </c>
      <c r="B84" s="845"/>
      <c r="C84" s="845"/>
      <c r="D84" s="845"/>
      <c r="E84" s="845"/>
      <c r="F84" s="845"/>
      <c r="G84" s="845"/>
      <c r="H84" s="846" t="s">
        <v>37</v>
      </c>
      <c r="I84" s="846"/>
      <c r="J84" s="846"/>
      <c r="K84" s="847"/>
      <c r="L84" s="847"/>
      <c r="M84" s="204">
        <v>408944</v>
      </c>
      <c r="N84" s="204">
        <v>408944</v>
      </c>
      <c r="O84" s="204"/>
      <c r="P84" s="204"/>
      <c r="Q84" s="204">
        <v>378488.3</v>
      </c>
      <c r="R84" s="204">
        <v>382244.2</v>
      </c>
      <c r="S84" s="207" t="e">
        <f>S85+S91+S100+S131</f>
        <v>#REF!</v>
      </c>
      <c r="T84" s="207">
        <f>T85+T91+T100+T131</f>
        <v>503886.79999999993</v>
      </c>
      <c r="U84" s="286">
        <f>U85+U91+U100+U131</f>
        <v>507046.49999999994</v>
      </c>
      <c r="V84" s="253">
        <f t="shared" si="9"/>
        <v>3159.7000000000116</v>
      </c>
      <c r="W84" s="207">
        <f>W85+W91+W100+W131</f>
        <v>0.5468668422457101</v>
      </c>
      <c r="X84" s="207" t="e">
        <f>X85+X91+X100+X131</f>
        <v>#REF!</v>
      </c>
      <c r="Y84" s="207">
        <f>Y85+Y91+Y100+Y131</f>
        <v>44547</v>
      </c>
      <c r="Z84" s="207">
        <f>Z85+Z91+Z100+Z131</f>
        <v>44573</v>
      </c>
      <c r="AA84" s="122">
        <f>U84-U85</f>
        <v>415834.69999999995</v>
      </c>
      <c r="AB84" s="263">
        <f>V84-V85</f>
        <v>-1535.6999999999825</v>
      </c>
      <c r="AC84" s="263" t="e">
        <f>#REF!-#REF!</f>
        <v>#REF!</v>
      </c>
      <c r="AD84" s="122">
        <f>W84-W85</f>
        <v>0</v>
      </c>
      <c r="AE84" s="122" t="e">
        <f>X84-X85</f>
        <v>#REF!</v>
      </c>
    </row>
    <row r="85" spans="1:27" s="8" customFormat="1" ht="29.25" customHeight="1">
      <c r="A85" s="175"/>
      <c r="B85" s="902" t="s">
        <v>448</v>
      </c>
      <c r="C85" s="902"/>
      <c r="D85" s="902"/>
      <c r="E85" s="902"/>
      <c r="F85" s="902"/>
      <c r="G85" s="902"/>
      <c r="H85" s="903" t="s">
        <v>39</v>
      </c>
      <c r="I85" s="903"/>
      <c r="J85" s="903"/>
      <c r="K85" s="904"/>
      <c r="L85" s="904"/>
      <c r="M85" s="208">
        <f>M86+M89</f>
        <v>108779</v>
      </c>
      <c r="N85" s="208">
        <f>N86+N89</f>
        <v>108779</v>
      </c>
      <c r="O85" s="208"/>
      <c r="P85" s="208"/>
      <c r="Q85" s="208">
        <v>86423</v>
      </c>
      <c r="R85" s="208">
        <v>86723</v>
      </c>
      <c r="S85" s="208">
        <f>S86+S89</f>
        <v>58595.1</v>
      </c>
      <c r="T85" s="208">
        <f>T86+T88+T89</f>
        <v>86516.4</v>
      </c>
      <c r="U85" s="208">
        <f>U86+U88+U89</f>
        <v>91211.79999999999</v>
      </c>
      <c r="V85" s="253">
        <f t="shared" si="9"/>
        <v>4695.399999999994</v>
      </c>
      <c r="W85" s="208">
        <f>W86+W88+W89</f>
        <v>0.5468668422457101</v>
      </c>
      <c r="X85" s="208">
        <f>X86+X88+X89</f>
        <v>-50183.9</v>
      </c>
      <c r="Y85" s="208">
        <f>Y86+Y88+Y89</f>
        <v>44547</v>
      </c>
      <c r="Z85" s="208">
        <f>Z86+Z88+Z89</f>
        <v>44573</v>
      </c>
      <c r="AA85" s="123"/>
    </row>
    <row r="86" spans="1:27" s="5" customFormat="1" ht="33.75" customHeight="1">
      <c r="A86" s="270"/>
      <c r="B86" s="270"/>
      <c r="C86" s="880" t="s">
        <v>149</v>
      </c>
      <c r="D86" s="880"/>
      <c r="E86" s="880"/>
      <c r="F86" s="880"/>
      <c r="G86" s="880"/>
      <c r="H86" s="878" t="s">
        <v>40</v>
      </c>
      <c r="I86" s="878"/>
      <c r="J86" s="878"/>
      <c r="K86" s="879"/>
      <c r="L86" s="879"/>
      <c r="M86" s="32">
        <v>86191</v>
      </c>
      <c r="N86" s="32">
        <f>N87</f>
        <v>86191</v>
      </c>
      <c r="O86" s="32"/>
      <c r="P86" s="32"/>
      <c r="Q86" s="32">
        <v>86423</v>
      </c>
      <c r="R86" s="32">
        <v>86723</v>
      </c>
      <c r="S86" s="279">
        <f>S87</f>
        <v>47135</v>
      </c>
      <c r="T86" s="279">
        <f>T87</f>
        <v>51814</v>
      </c>
      <c r="U86" s="279">
        <f>U87</f>
        <v>43112.1</v>
      </c>
      <c r="V86" s="253">
        <f t="shared" si="9"/>
        <v>-8701.900000000001</v>
      </c>
      <c r="W86" s="174">
        <f>S86/N86</f>
        <v>0.5468668422457101</v>
      </c>
      <c r="X86" s="162">
        <f t="shared" si="2"/>
        <v>-39056</v>
      </c>
      <c r="Y86" s="32">
        <f>Y87</f>
        <v>44547</v>
      </c>
      <c r="Z86" s="32">
        <f>Z87</f>
        <v>44573</v>
      </c>
      <c r="AA86" s="124"/>
    </row>
    <row r="87" spans="1:26" ht="27.75" customHeight="1">
      <c r="A87" s="225"/>
      <c r="B87" s="225"/>
      <c r="C87" s="225"/>
      <c r="D87" s="225"/>
      <c r="E87" s="856" t="s">
        <v>419</v>
      </c>
      <c r="F87" s="857"/>
      <c r="G87" s="223" t="s">
        <v>514</v>
      </c>
      <c r="H87" s="863" t="s">
        <v>41</v>
      </c>
      <c r="I87" s="863"/>
      <c r="J87" s="863"/>
      <c r="K87" s="864"/>
      <c r="L87" s="864"/>
      <c r="M87" s="233">
        <v>86191</v>
      </c>
      <c r="N87" s="233">
        <v>86191</v>
      </c>
      <c r="O87" s="233"/>
      <c r="P87" s="233"/>
      <c r="Q87" s="233">
        <v>86423</v>
      </c>
      <c r="R87" s="233">
        <v>86723</v>
      </c>
      <c r="S87" s="77">
        <v>47135</v>
      </c>
      <c r="T87" s="77">
        <v>51814</v>
      </c>
      <c r="U87" s="77">
        <v>43112.1</v>
      </c>
      <c r="V87" s="253">
        <f t="shared" si="9"/>
        <v>-8701.900000000001</v>
      </c>
      <c r="W87" s="174">
        <f>S87/N87</f>
        <v>0.5468668422457101</v>
      </c>
      <c r="X87" s="162">
        <f t="shared" si="2"/>
        <v>-39056</v>
      </c>
      <c r="Y87" s="176">
        <v>44547</v>
      </c>
      <c r="Z87" s="176">
        <v>44573</v>
      </c>
    </row>
    <row r="88" spans="1:26" ht="27" customHeight="1">
      <c r="A88" s="225"/>
      <c r="B88" s="225"/>
      <c r="C88" s="225"/>
      <c r="D88" s="225"/>
      <c r="E88" s="856" t="s">
        <v>82</v>
      </c>
      <c r="F88" s="857"/>
      <c r="G88" s="223"/>
      <c r="H88" s="899"/>
      <c r="I88" s="900"/>
      <c r="J88" s="901"/>
      <c r="K88" s="860"/>
      <c r="L88" s="861"/>
      <c r="M88" s="233"/>
      <c r="N88" s="233"/>
      <c r="O88" s="233"/>
      <c r="P88" s="233"/>
      <c r="Q88" s="233"/>
      <c r="R88" s="233"/>
      <c r="S88" s="77"/>
      <c r="T88" s="77">
        <v>34702.4</v>
      </c>
      <c r="U88" s="291">
        <v>34729.3</v>
      </c>
      <c r="V88" s="253">
        <f t="shared" si="9"/>
        <v>26.900000000001455</v>
      </c>
      <c r="W88" s="174"/>
      <c r="X88" s="162"/>
      <c r="Y88" s="176"/>
      <c r="Z88" s="176"/>
    </row>
    <row r="89" spans="1:27" s="5" customFormat="1" ht="54.75" customHeight="1">
      <c r="A89" s="270"/>
      <c r="B89" s="270"/>
      <c r="C89" s="880" t="s">
        <v>147</v>
      </c>
      <c r="D89" s="880"/>
      <c r="E89" s="880"/>
      <c r="F89" s="880"/>
      <c r="G89" s="880"/>
      <c r="H89" s="878" t="s">
        <v>45</v>
      </c>
      <c r="I89" s="878"/>
      <c r="J89" s="878"/>
      <c r="K89" s="879"/>
      <c r="L89" s="879"/>
      <c r="M89" s="32">
        <v>22588</v>
      </c>
      <c r="N89" s="32">
        <v>22588</v>
      </c>
      <c r="O89" s="32"/>
      <c r="P89" s="32"/>
      <c r="Q89" s="32">
        <v>0</v>
      </c>
      <c r="R89" s="32">
        <v>0</v>
      </c>
      <c r="S89" s="77">
        <f>S90</f>
        <v>11460.1</v>
      </c>
      <c r="T89" s="77">
        <f>T90</f>
        <v>0</v>
      </c>
      <c r="U89" s="291">
        <v>13370.4</v>
      </c>
      <c r="V89" s="253">
        <f t="shared" si="9"/>
        <v>13370.4</v>
      </c>
      <c r="W89" s="177"/>
      <c r="X89" s="162">
        <f t="shared" si="2"/>
        <v>-11127.9</v>
      </c>
      <c r="Y89" s="177">
        <v>0</v>
      </c>
      <c r="Z89" s="177"/>
      <c r="AA89" s="124"/>
    </row>
    <row r="90" spans="1:26" ht="39" customHeight="1">
      <c r="A90" s="225"/>
      <c r="B90" s="225"/>
      <c r="C90" s="225"/>
      <c r="D90" s="225"/>
      <c r="E90" s="856" t="s">
        <v>493</v>
      </c>
      <c r="F90" s="857"/>
      <c r="G90" s="223" t="s">
        <v>514</v>
      </c>
      <c r="H90" s="863" t="s">
        <v>44</v>
      </c>
      <c r="I90" s="863"/>
      <c r="J90" s="863"/>
      <c r="K90" s="864"/>
      <c r="L90" s="864"/>
      <c r="M90" s="233">
        <v>22588</v>
      </c>
      <c r="N90" s="233">
        <v>22588</v>
      </c>
      <c r="O90" s="233"/>
      <c r="P90" s="233"/>
      <c r="Q90" s="233">
        <v>0</v>
      </c>
      <c r="R90" s="233">
        <v>0</v>
      </c>
      <c r="S90" s="232">
        <v>11460.1</v>
      </c>
      <c r="T90" s="232">
        <v>0</v>
      </c>
      <c r="U90" s="232">
        <v>0</v>
      </c>
      <c r="V90" s="253">
        <f t="shared" si="9"/>
        <v>0</v>
      </c>
      <c r="W90" s="232"/>
      <c r="X90" s="162">
        <f t="shared" si="2"/>
        <v>-11127.9</v>
      </c>
      <c r="Y90" s="232">
        <v>0</v>
      </c>
      <c r="Z90" s="232"/>
    </row>
    <row r="91" spans="1:27" s="8" customFormat="1" ht="36" customHeight="1">
      <c r="A91" s="269"/>
      <c r="B91" s="905" t="s">
        <v>42</v>
      </c>
      <c r="C91" s="905"/>
      <c r="D91" s="905"/>
      <c r="E91" s="905"/>
      <c r="F91" s="905"/>
      <c r="G91" s="905"/>
      <c r="H91" s="906" t="s">
        <v>43</v>
      </c>
      <c r="I91" s="906"/>
      <c r="J91" s="906"/>
      <c r="K91" s="907"/>
      <c r="L91" s="907"/>
      <c r="M91" s="209">
        <v>24188.2</v>
      </c>
      <c r="N91" s="209">
        <v>47157.87</v>
      </c>
      <c r="O91" s="209"/>
      <c r="P91" s="209"/>
      <c r="Q91" s="209">
        <v>25597.7</v>
      </c>
      <c r="R91" s="209">
        <v>26553.1</v>
      </c>
      <c r="S91" s="210">
        <f>S92</f>
        <v>49585.6</v>
      </c>
      <c r="T91" s="210">
        <f>T92</f>
        <v>53079.90000000001</v>
      </c>
      <c r="U91" s="294">
        <f>U92</f>
        <v>22224.2</v>
      </c>
      <c r="V91" s="253">
        <f t="shared" si="9"/>
        <v>-30855.700000000008</v>
      </c>
      <c r="W91" s="43"/>
      <c r="X91" s="162">
        <f t="shared" si="2"/>
        <v>2427.729999999996</v>
      </c>
      <c r="Y91" s="43"/>
      <c r="Z91" s="43"/>
      <c r="AA91" s="123"/>
    </row>
    <row r="92" spans="1:26" s="276" customFormat="1" ht="48" customHeight="1">
      <c r="A92" s="246"/>
      <c r="B92" s="908" t="s">
        <v>453</v>
      </c>
      <c r="C92" s="908"/>
      <c r="D92" s="908"/>
      <c r="E92" s="908"/>
      <c r="F92" s="908"/>
      <c r="G92" s="908"/>
      <c r="H92" s="909" t="s">
        <v>46</v>
      </c>
      <c r="I92" s="909"/>
      <c r="J92" s="909"/>
      <c r="K92" s="910"/>
      <c r="L92" s="910"/>
      <c r="M92" s="247"/>
      <c r="N92" s="247">
        <v>2750.1</v>
      </c>
      <c r="O92" s="247"/>
      <c r="P92" s="247"/>
      <c r="Q92" s="247"/>
      <c r="R92" s="247"/>
      <c r="S92" s="15">
        <f>S93+S94+S97+S96</f>
        <v>49585.6</v>
      </c>
      <c r="T92" s="15">
        <f>T93+T94+T95+T96+T99+T97</f>
        <v>53079.90000000001</v>
      </c>
      <c r="U92" s="292">
        <f>U93+U94+U95+U96+U99+U97</f>
        <v>22224.2</v>
      </c>
      <c r="V92" s="253">
        <f t="shared" si="9"/>
        <v>-30855.700000000008</v>
      </c>
      <c r="W92" s="178">
        <f>S92/N92</f>
        <v>18.03047161921385</v>
      </c>
      <c r="X92" s="169">
        <f t="shared" si="2"/>
        <v>46835.5</v>
      </c>
      <c r="Y92" s="15">
        <v>1378.1</v>
      </c>
      <c r="Z92" s="15">
        <v>2202.6</v>
      </c>
    </row>
    <row r="93" spans="1:27" s="5" customFormat="1" ht="72" customHeight="1">
      <c r="A93" s="270"/>
      <c r="B93" s="271"/>
      <c r="C93" s="917" t="s">
        <v>321</v>
      </c>
      <c r="D93" s="917"/>
      <c r="E93" s="917"/>
      <c r="F93" s="917"/>
      <c r="G93" s="917"/>
      <c r="H93" s="878" t="s">
        <v>47</v>
      </c>
      <c r="I93" s="878"/>
      <c r="J93" s="878"/>
      <c r="K93" s="910"/>
      <c r="L93" s="910"/>
      <c r="M93" s="32">
        <v>5225.9</v>
      </c>
      <c r="N93" s="32">
        <v>4219.25</v>
      </c>
      <c r="O93" s="32"/>
      <c r="P93" s="32"/>
      <c r="Q93" s="32">
        <v>5225.9</v>
      </c>
      <c r="R93" s="32">
        <v>5225.9</v>
      </c>
      <c r="S93" s="15">
        <v>3273.1</v>
      </c>
      <c r="T93" s="15">
        <v>3683.4</v>
      </c>
      <c r="U93" s="292">
        <v>3683.4</v>
      </c>
      <c r="V93" s="253">
        <f t="shared" si="9"/>
        <v>0</v>
      </c>
      <c r="W93" s="177"/>
      <c r="X93" s="162">
        <f t="shared" si="2"/>
        <v>-946.1500000000001</v>
      </c>
      <c r="Y93" s="177"/>
      <c r="Z93" s="177"/>
      <c r="AA93" s="124"/>
    </row>
    <row r="94" spans="1:26" ht="72" customHeight="1">
      <c r="A94" s="225"/>
      <c r="B94" s="225"/>
      <c r="C94" s="225"/>
      <c r="D94" s="225"/>
      <c r="E94" s="856" t="s">
        <v>354</v>
      </c>
      <c r="F94" s="857"/>
      <c r="G94" s="223"/>
      <c r="H94" s="878" t="s">
        <v>47</v>
      </c>
      <c r="I94" s="878"/>
      <c r="J94" s="878"/>
      <c r="K94" s="910"/>
      <c r="L94" s="910"/>
      <c r="M94" s="233"/>
      <c r="N94" s="233">
        <v>50</v>
      </c>
      <c r="O94" s="233"/>
      <c r="P94" s="233"/>
      <c r="Q94" s="233"/>
      <c r="R94" s="233"/>
      <c r="S94" s="232">
        <v>43154</v>
      </c>
      <c r="T94" s="232">
        <v>13940.7</v>
      </c>
      <c r="U94" s="293">
        <v>10487.1</v>
      </c>
      <c r="V94" s="253">
        <f t="shared" si="9"/>
        <v>-3453.6000000000004</v>
      </c>
      <c r="W94" s="232"/>
      <c r="X94" s="162">
        <f t="shared" si="2"/>
        <v>43104</v>
      </c>
      <c r="Y94" s="232"/>
      <c r="Z94" s="232"/>
    </row>
    <row r="95" spans="1:26" ht="62.25" customHeight="1">
      <c r="A95" s="225"/>
      <c r="B95" s="225"/>
      <c r="C95" s="225"/>
      <c r="D95" s="225"/>
      <c r="E95" s="856" t="s">
        <v>83</v>
      </c>
      <c r="F95" s="857"/>
      <c r="G95" s="223"/>
      <c r="H95" s="911"/>
      <c r="I95" s="900"/>
      <c r="J95" s="901"/>
      <c r="K95" s="912"/>
      <c r="L95" s="861"/>
      <c r="M95" s="233"/>
      <c r="N95" s="233"/>
      <c r="O95" s="233"/>
      <c r="P95" s="233"/>
      <c r="Q95" s="233"/>
      <c r="R95" s="233"/>
      <c r="S95" s="232"/>
      <c r="T95" s="232">
        <v>34861</v>
      </c>
      <c r="U95" s="293">
        <v>7635.7</v>
      </c>
      <c r="V95" s="253">
        <f t="shared" si="9"/>
        <v>-27225.3</v>
      </c>
      <c r="W95" s="232"/>
      <c r="X95" s="162"/>
      <c r="Y95" s="232"/>
      <c r="Z95" s="232"/>
    </row>
    <row r="96" spans="1:26" ht="44.25" customHeight="1" hidden="1">
      <c r="A96" s="225"/>
      <c r="B96" s="225"/>
      <c r="C96" s="225"/>
      <c r="D96" s="225"/>
      <c r="E96" s="860" t="s">
        <v>322</v>
      </c>
      <c r="F96" s="861"/>
      <c r="G96" s="223"/>
      <c r="H96" s="911" t="s">
        <v>323</v>
      </c>
      <c r="I96" s="913"/>
      <c r="J96" s="914"/>
      <c r="K96" s="915"/>
      <c r="L96" s="916"/>
      <c r="M96" s="233"/>
      <c r="N96" s="233"/>
      <c r="O96" s="233"/>
      <c r="P96" s="233"/>
      <c r="Q96" s="233"/>
      <c r="R96" s="233"/>
      <c r="S96" s="232">
        <v>2585.7</v>
      </c>
      <c r="T96" s="232">
        <v>0</v>
      </c>
      <c r="U96" s="293">
        <v>0</v>
      </c>
      <c r="V96" s="253">
        <f t="shared" si="9"/>
        <v>0</v>
      </c>
      <c r="W96" s="232"/>
      <c r="X96" s="162"/>
      <c r="Y96" s="232"/>
      <c r="Z96" s="232"/>
    </row>
    <row r="97" spans="1:26" ht="62.25" customHeight="1">
      <c r="A97" s="225"/>
      <c r="B97" s="225"/>
      <c r="C97" s="225"/>
      <c r="D97" s="225"/>
      <c r="E97" s="856" t="s">
        <v>324</v>
      </c>
      <c r="F97" s="857"/>
      <c r="G97" s="223"/>
      <c r="H97" s="878" t="s">
        <v>47</v>
      </c>
      <c r="I97" s="878"/>
      <c r="J97" s="878"/>
      <c r="K97" s="910"/>
      <c r="L97" s="910"/>
      <c r="M97" s="233"/>
      <c r="N97" s="233">
        <v>1273.86</v>
      </c>
      <c r="O97" s="233"/>
      <c r="P97" s="233"/>
      <c r="Q97" s="233"/>
      <c r="R97" s="233"/>
      <c r="S97" s="232">
        <v>572.8</v>
      </c>
      <c r="T97" s="232">
        <v>544.8</v>
      </c>
      <c r="U97" s="293">
        <v>368</v>
      </c>
      <c r="V97" s="253">
        <f t="shared" si="9"/>
        <v>-176.79999999999995</v>
      </c>
      <c r="W97" s="232"/>
      <c r="X97" s="162">
        <f t="shared" si="2"/>
        <v>-701.06</v>
      </c>
      <c r="Y97" s="232"/>
      <c r="Z97" s="232"/>
    </row>
    <row r="98" spans="1:26" ht="44.25" customHeight="1" hidden="1">
      <c r="A98" s="225"/>
      <c r="B98" s="225"/>
      <c r="C98" s="225"/>
      <c r="D98" s="225"/>
      <c r="E98" s="856" t="s">
        <v>307</v>
      </c>
      <c r="F98" s="857"/>
      <c r="G98" s="223"/>
      <c r="H98" s="863" t="s">
        <v>496</v>
      </c>
      <c r="I98" s="863"/>
      <c r="J98" s="863"/>
      <c r="K98" s="895"/>
      <c r="L98" s="896"/>
      <c r="M98" s="233"/>
      <c r="N98" s="233">
        <v>155</v>
      </c>
      <c r="O98" s="233"/>
      <c r="P98" s="233"/>
      <c r="Q98" s="233"/>
      <c r="R98" s="233"/>
      <c r="S98" s="232"/>
      <c r="T98" s="232"/>
      <c r="U98" s="293"/>
      <c r="V98" s="253">
        <f t="shared" si="9"/>
        <v>0</v>
      </c>
      <c r="W98" s="232"/>
      <c r="X98" s="162">
        <f t="shared" si="2"/>
        <v>-155</v>
      </c>
      <c r="Y98" s="232"/>
      <c r="Z98" s="232"/>
    </row>
    <row r="99" spans="1:26" ht="45" customHeight="1">
      <c r="A99" s="225"/>
      <c r="B99" s="225"/>
      <c r="C99" s="225"/>
      <c r="D99" s="225"/>
      <c r="E99" s="856" t="s">
        <v>307</v>
      </c>
      <c r="F99" s="857"/>
      <c r="G99" s="223"/>
      <c r="H99" s="863" t="s">
        <v>47</v>
      </c>
      <c r="I99" s="863"/>
      <c r="J99" s="863"/>
      <c r="K99" s="895"/>
      <c r="L99" s="896"/>
      <c r="M99" s="233"/>
      <c r="N99" s="233">
        <v>5213.33</v>
      </c>
      <c r="O99" s="233"/>
      <c r="P99" s="233"/>
      <c r="Q99" s="233"/>
      <c r="R99" s="233"/>
      <c r="S99" s="232">
        <v>0</v>
      </c>
      <c r="T99" s="232">
        <v>50</v>
      </c>
      <c r="U99" s="293">
        <v>50</v>
      </c>
      <c r="V99" s="253">
        <f t="shared" si="9"/>
        <v>0</v>
      </c>
      <c r="W99" s="232"/>
      <c r="X99" s="162">
        <f aca="true" t="shared" si="10" ref="X99:X145">S99-N99</f>
        <v>-5213.33</v>
      </c>
      <c r="Y99" s="232"/>
      <c r="Z99" s="232"/>
    </row>
    <row r="100" spans="1:30" s="8" customFormat="1" ht="33.75" customHeight="1">
      <c r="A100" s="269"/>
      <c r="B100" s="905" t="s">
        <v>417</v>
      </c>
      <c r="C100" s="905"/>
      <c r="D100" s="905"/>
      <c r="E100" s="905"/>
      <c r="F100" s="905"/>
      <c r="G100" s="905"/>
      <c r="H100" s="906" t="s">
        <v>48</v>
      </c>
      <c r="I100" s="906"/>
      <c r="J100" s="906"/>
      <c r="K100" s="907"/>
      <c r="L100" s="907"/>
      <c r="M100" s="209">
        <v>275855.8</v>
      </c>
      <c r="N100" s="209">
        <v>270987.98</v>
      </c>
      <c r="O100" s="209"/>
      <c r="P100" s="209"/>
      <c r="Q100" s="209">
        <v>266346.6</v>
      </c>
      <c r="R100" s="209">
        <v>268847.1</v>
      </c>
      <c r="S100" s="210" t="e">
        <f>S103+S105+#REF!+S107+S121+S130+S101</f>
        <v>#REF!</v>
      </c>
      <c r="T100" s="210">
        <f>T103+T107+T121</f>
        <v>364054.39999999997</v>
      </c>
      <c r="U100" s="294">
        <f>U103+U107+U121</f>
        <v>393505.79999999993</v>
      </c>
      <c r="V100" s="253">
        <f t="shared" si="9"/>
        <v>29451.399999999965</v>
      </c>
      <c r="W100" s="43"/>
      <c r="X100" s="162" t="e">
        <f t="shared" si="10"/>
        <v>#REF!</v>
      </c>
      <c r="Y100" s="43"/>
      <c r="Z100" s="43"/>
      <c r="AA100" s="123"/>
      <c r="AB100" s="8">
        <v>402874.6</v>
      </c>
      <c r="AC100" s="8">
        <v>404939.2</v>
      </c>
      <c r="AD100" s="8">
        <v>409865.1</v>
      </c>
    </row>
    <row r="101" spans="1:27" s="5" customFormat="1" ht="67.5" customHeight="1" hidden="1">
      <c r="A101" s="270"/>
      <c r="B101" s="270"/>
      <c r="C101" s="918" t="s">
        <v>191</v>
      </c>
      <c r="D101" s="919"/>
      <c r="E101" s="919"/>
      <c r="F101" s="919"/>
      <c r="G101" s="919"/>
      <c r="H101" s="878" t="s">
        <v>192</v>
      </c>
      <c r="I101" s="878"/>
      <c r="J101" s="878"/>
      <c r="K101" s="879"/>
      <c r="L101" s="879"/>
      <c r="M101" s="32">
        <v>2158.6</v>
      </c>
      <c r="N101" s="46">
        <v>2476.3</v>
      </c>
      <c r="O101" s="45"/>
      <c r="P101" s="45"/>
      <c r="Q101" s="45">
        <v>2158.6</v>
      </c>
      <c r="R101" s="45">
        <v>2158.6</v>
      </c>
      <c r="S101" s="77">
        <f>S102</f>
        <v>0</v>
      </c>
      <c r="T101" s="77">
        <f>T102</f>
        <v>0</v>
      </c>
      <c r="U101" s="77">
        <f>U102</f>
        <v>0</v>
      </c>
      <c r="V101" s="253">
        <f t="shared" si="9"/>
        <v>0</v>
      </c>
      <c r="W101" s="156">
        <f aca="true" t="shared" si="11" ref="W101:W106">S101/N101</f>
        <v>0</v>
      </c>
      <c r="X101" s="162">
        <f>S101-N101</f>
        <v>-2476.3</v>
      </c>
      <c r="Y101" s="179">
        <v>2542.4</v>
      </c>
      <c r="Z101" s="179">
        <v>2542.4</v>
      </c>
      <c r="AA101" s="124"/>
    </row>
    <row r="102" spans="1:26" ht="51.75" customHeight="1" hidden="1">
      <c r="A102" s="225"/>
      <c r="B102" s="225"/>
      <c r="C102" s="225"/>
      <c r="D102" s="225"/>
      <c r="E102" s="856" t="s">
        <v>355</v>
      </c>
      <c r="F102" s="857"/>
      <c r="G102" s="223" t="s">
        <v>514</v>
      </c>
      <c r="H102" s="863" t="s">
        <v>193</v>
      </c>
      <c r="I102" s="863"/>
      <c r="J102" s="863"/>
      <c r="K102" s="864" t="s">
        <v>420</v>
      </c>
      <c r="L102" s="864"/>
      <c r="M102" s="233">
        <v>2158.6</v>
      </c>
      <c r="N102" s="233">
        <v>2476.3</v>
      </c>
      <c r="O102" s="233"/>
      <c r="P102" s="233"/>
      <c r="Q102" s="233">
        <v>2158.6</v>
      </c>
      <c r="R102" s="233">
        <v>2158.6</v>
      </c>
      <c r="S102" s="15">
        <v>0</v>
      </c>
      <c r="T102" s="15">
        <v>0</v>
      </c>
      <c r="U102" s="15">
        <v>0</v>
      </c>
      <c r="V102" s="253">
        <f t="shared" si="9"/>
        <v>0</v>
      </c>
      <c r="W102" s="156">
        <f t="shared" si="11"/>
        <v>0</v>
      </c>
      <c r="X102" s="162">
        <f>S102-N102</f>
        <v>-2476.3</v>
      </c>
      <c r="Y102" s="232">
        <v>2542.4</v>
      </c>
      <c r="Z102" s="232">
        <v>2542.4</v>
      </c>
    </row>
    <row r="103" spans="1:27" s="5" customFormat="1" ht="51.75" customHeight="1">
      <c r="A103" s="270"/>
      <c r="B103" s="270"/>
      <c r="C103" s="880" t="s">
        <v>195</v>
      </c>
      <c r="D103" s="880"/>
      <c r="E103" s="880"/>
      <c r="F103" s="880"/>
      <c r="G103" s="880"/>
      <c r="H103" s="878" t="s">
        <v>49</v>
      </c>
      <c r="I103" s="878"/>
      <c r="J103" s="878"/>
      <c r="K103" s="879"/>
      <c r="L103" s="879"/>
      <c r="M103" s="32">
        <v>2158.6</v>
      </c>
      <c r="N103" s="46">
        <v>2476.3</v>
      </c>
      <c r="O103" s="45"/>
      <c r="P103" s="45"/>
      <c r="Q103" s="45">
        <v>2158.6</v>
      </c>
      <c r="R103" s="45">
        <v>2158.6</v>
      </c>
      <c r="S103" s="77">
        <f>S104</f>
        <v>2493.6</v>
      </c>
      <c r="T103" s="77">
        <f>T104</f>
        <v>2759</v>
      </c>
      <c r="U103" s="291">
        <f>U104</f>
        <v>2870.2</v>
      </c>
      <c r="V103" s="253">
        <f t="shared" si="9"/>
        <v>111.19999999999982</v>
      </c>
      <c r="W103" s="156">
        <f t="shared" si="11"/>
        <v>1.0069862294552354</v>
      </c>
      <c r="X103" s="162">
        <f t="shared" si="10"/>
        <v>17.299999999999727</v>
      </c>
      <c r="Y103" s="179">
        <v>2542.4</v>
      </c>
      <c r="Z103" s="179">
        <v>2542.4</v>
      </c>
      <c r="AA103" s="124"/>
    </row>
    <row r="104" spans="1:26" ht="51.75" customHeight="1">
      <c r="A104" s="225"/>
      <c r="B104" s="225"/>
      <c r="C104" s="225"/>
      <c r="D104" s="225"/>
      <c r="E104" s="856" t="s">
        <v>194</v>
      </c>
      <c r="F104" s="857"/>
      <c r="G104" s="223" t="s">
        <v>514</v>
      </c>
      <c r="H104" s="863" t="s">
        <v>50</v>
      </c>
      <c r="I104" s="863"/>
      <c r="J104" s="863"/>
      <c r="K104" s="864"/>
      <c r="L104" s="864"/>
      <c r="M104" s="233">
        <v>2158.6</v>
      </c>
      <c r="N104" s="233">
        <v>2476.3</v>
      </c>
      <c r="O104" s="233"/>
      <c r="P104" s="233"/>
      <c r="Q104" s="233">
        <v>2158.6</v>
      </c>
      <c r="R104" s="233">
        <v>2158.6</v>
      </c>
      <c r="S104" s="77">
        <v>2493.6</v>
      </c>
      <c r="T104" s="77">
        <v>2759</v>
      </c>
      <c r="U104" s="291">
        <v>2870.2</v>
      </c>
      <c r="V104" s="253">
        <f t="shared" si="9"/>
        <v>111.19999999999982</v>
      </c>
      <c r="W104" s="156">
        <f t="shared" si="11"/>
        <v>1.0069862294552354</v>
      </c>
      <c r="X104" s="162">
        <f t="shared" si="10"/>
        <v>17.299999999999727</v>
      </c>
      <c r="Y104" s="232">
        <v>2542.4</v>
      </c>
      <c r="Z104" s="232">
        <v>2542.4</v>
      </c>
    </row>
    <row r="105" spans="1:27" s="5" customFormat="1" ht="51.75" customHeight="1" hidden="1">
      <c r="A105" s="270"/>
      <c r="B105" s="270"/>
      <c r="C105" s="880" t="s">
        <v>196</v>
      </c>
      <c r="D105" s="880"/>
      <c r="E105" s="880"/>
      <c r="F105" s="880"/>
      <c r="G105" s="880"/>
      <c r="H105" s="878" t="s">
        <v>197</v>
      </c>
      <c r="I105" s="878"/>
      <c r="J105" s="878"/>
      <c r="K105" s="879"/>
      <c r="L105" s="879"/>
      <c r="M105" s="32">
        <v>5739</v>
      </c>
      <c r="N105" s="32">
        <v>5739</v>
      </c>
      <c r="O105" s="32"/>
      <c r="P105" s="32"/>
      <c r="Q105" s="32">
        <v>5739</v>
      </c>
      <c r="R105" s="32">
        <v>5739</v>
      </c>
      <c r="S105" s="77">
        <f>S106</f>
        <v>5769</v>
      </c>
      <c r="T105" s="77">
        <f>T106</f>
        <v>0</v>
      </c>
      <c r="U105" s="77">
        <f>U106</f>
        <v>0</v>
      </c>
      <c r="V105" s="253">
        <f t="shared" si="9"/>
        <v>0</v>
      </c>
      <c r="W105" s="156">
        <f t="shared" si="11"/>
        <v>1.0052273915316257</v>
      </c>
      <c r="X105" s="162">
        <f t="shared" si="10"/>
        <v>30</v>
      </c>
      <c r="Y105" s="179">
        <v>5769.4</v>
      </c>
      <c r="Z105" s="179">
        <v>5769.4</v>
      </c>
      <c r="AA105" s="124"/>
    </row>
    <row r="106" spans="1:26" ht="29.25" customHeight="1" hidden="1">
      <c r="A106" s="225"/>
      <c r="B106" s="225"/>
      <c r="C106" s="225"/>
      <c r="D106" s="225"/>
      <c r="E106" s="856" t="s">
        <v>494</v>
      </c>
      <c r="F106" s="857"/>
      <c r="G106" s="223" t="s">
        <v>514</v>
      </c>
      <c r="H106" s="863" t="s">
        <v>198</v>
      </c>
      <c r="I106" s="863"/>
      <c r="J106" s="863"/>
      <c r="K106" s="864" t="s">
        <v>420</v>
      </c>
      <c r="L106" s="864"/>
      <c r="M106" s="233">
        <v>5739</v>
      </c>
      <c r="N106" s="233">
        <v>5739</v>
      </c>
      <c r="O106" s="233"/>
      <c r="P106" s="233"/>
      <c r="Q106" s="233">
        <v>5739</v>
      </c>
      <c r="R106" s="233">
        <v>5739</v>
      </c>
      <c r="S106" s="15">
        <v>5769</v>
      </c>
      <c r="T106" s="15"/>
      <c r="U106" s="15"/>
      <c r="V106" s="253">
        <f t="shared" si="9"/>
        <v>0</v>
      </c>
      <c r="W106" s="156">
        <f t="shared" si="11"/>
        <v>1.0052273915316257</v>
      </c>
      <c r="X106" s="162">
        <f t="shared" si="10"/>
        <v>30</v>
      </c>
      <c r="Y106" s="232">
        <v>5769.4</v>
      </c>
      <c r="Z106" s="232">
        <v>5769.4</v>
      </c>
    </row>
    <row r="107" spans="1:27" s="5" customFormat="1" ht="76.5" customHeight="1">
      <c r="A107" s="270"/>
      <c r="B107" s="270"/>
      <c r="C107" s="880" t="s">
        <v>346</v>
      </c>
      <c r="D107" s="880"/>
      <c r="E107" s="880"/>
      <c r="F107" s="880"/>
      <c r="G107" s="880"/>
      <c r="H107" s="878" t="s">
        <v>51</v>
      </c>
      <c r="I107" s="878"/>
      <c r="J107" s="878"/>
      <c r="K107" s="879"/>
      <c r="L107" s="879"/>
      <c r="M107" s="32">
        <v>7633</v>
      </c>
      <c r="N107" s="32">
        <v>7633</v>
      </c>
      <c r="O107" s="32"/>
      <c r="P107" s="32"/>
      <c r="Q107" s="32">
        <v>7946.2</v>
      </c>
      <c r="R107" s="32">
        <v>8780</v>
      </c>
      <c r="S107" s="77">
        <f>S108</f>
        <v>5464.2</v>
      </c>
      <c r="T107" s="77">
        <f>T108</f>
        <v>6912.9</v>
      </c>
      <c r="U107" s="291">
        <f>U108</f>
        <v>6912.9</v>
      </c>
      <c r="V107" s="253">
        <f t="shared" si="9"/>
        <v>0</v>
      </c>
      <c r="W107" s="177"/>
      <c r="X107" s="162">
        <f t="shared" si="10"/>
        <v>-2168.8</v>
      </c>
      <c r="Y107" s="177"/>
      <c r="Z107" s="177"/>
      <c r="AA107" s="124"/>
    </row>
    <row r="108" spans="1:26" ht="75" customHeight="1">
      <c r="A108" s="225"/>
      <c r="B108" s="225"/>
      <c r="C108" s="225"/>
      <c r="D108" s="225"/>
      <c r="E108" s="856" t="s">
        <v>447</v>
      </c>
      <c r="F108" s="857"/>
      <c r="G108" s="223" t="s">
        <v>514</v>
      </c>
      <c r="H108" s="863" t="s">
        <v>52</v>
      </c>
      <c r="I108" s="863"/>
      <c r="J108" s="863"/>
      <c r="K108" s="864"/>
      <c r="L108" s="864"/>
      <c r="M108" s="233">
        <v>7633</v>
      </c>
      <c r="N108" s="236">
        <v>7633</v>
      </c>
      <c r="O108" s="236"/>
      <c r="P108" s="236"/>
      <c r="Q108" s="236">
        <v>7946.2</v>
      </c>
      <c r="R108" s="236">
        <v>8780</v>
      </c>
      <c r="S108" s="15">
        <v>5464.2</v>
      </c>
      <c r="T108" s="15">
        <v>6912.9</v>
      </c>
      <c r="U108" s="292">
        <v>6912.9</v>
      </c>
      <c r="V108" s="253">
        <f t="shared" si="9"/>
        <v>0</v>
      </c>
      <c r="W108" s="156">
        <f aca="true" t="shared" si="12" ref="W108:W120">S108/N108</f>
        <v>0.7158653216297655</v>
      </c>
      <c r="X108" s="162">
        <f t="shared" si="10"/>
        <v>-2168.8</v>
      </c>
      <c r="Y108" s="280">
        <v>4142.6</v>
      </c>
      <c r="Z108" s="280">
        <v>4166</v>
      </c>
    </row>
    <row r="109" spans="1:26" ht="48" customHeight="1" hidden="1">
      <c r="A109" s="225"/>
      <c r="B109" s="225"/>
      <c r="C109" s="225"/>
      <c r="D109" s="225"/>
      <c r="E109" s="860" t="s">
        <v>190</v>
      </c>
      <c r="F109" s="861"/>
      <c r="G109" s="223"/>
      <c r="H109" s="863">
        <v>20203042000000</v>
      </c>
      <c r="I109" s="863"/>
      <c r="J109" s="863"/>
      <c r="K109" s="268"/>
      <c r="L109" s="268"/>
      <c r="M109" s="233"/>
      <c r="N109" s="233">
        <v>59.94</v>
      </c>
      <c r="O109" s="233"/>
      <c r="P109" s="233"/>
      <c r="Q109" s="233"/>
      <c r="R109" s="233"/>
      <c r="S109" s="15"/>
      <c r="T109" s="15"/>
      <c r="U109" s="15"/>
      <c r="V109" s="253">
        <f t="shared" si="9"/>
        <v>0</v>
      </c>
      <c r="W109" s="156">
        <f t="shared" si="12"/>
        <v>0</v>
      </c>
      <c r="X109" s="162">
        <f t="shared" si="10"/>
        <v>-59.94</v>
      </c>
      <c r="Y109" s="232"/>
      <c r="Z109" s="232"/>
    </row>
    <row r="110" spans="1:26" ht="36" customHeight="1" hidden="1">
      <c r="A110" s="225"/>
      <c r="B110" s="225"/>
      <c r="C110" s="225"/>
      <c r="D110" s="225"/>
      <c r="E110" s="860" t="s">
        <v>190</v>
      </c>
      <c r="F110" s="861"/>
      <c r="G110" s="223"/>
      <c r="H110" s="863">
        <v>20203042050000</v>
      </c>
      <c r="I110" s="863"/>
      <c r="J110" s="863"/>
      <c r="K110" s="268"/>
      <c r="L110" s="268"/>
      <c r="M110" s="233"/>
      <c r="N110" s="233">
        <v>59.94</v>
      </c>
      <c r="O110" s="233"/>
      <c r="P110" s="233"/>
      <c r="Q110" s="233"/>
      <c r="R110" s="233"/>
      <c r="S110" s="15"/>
      <c r="T110" s="15"/>
      <c r="U110" s="15"/>
      <c r="V110" s="253">
        <f t="shared" si="9"/>
        <v>0</v>
      </c>
      <c r="W110" s="156">
        <f t="shared" si="12"/>
        <v>0</v>
      </c>
      <c r="X110" s="162">
        <f t="shared" si="10"/>
        <v>-59.94</v>
      </c>
      <c r="Y110" s="232"/>
      <c r="Z110" s="232"/>
    </row>
    <row r="111" spans="1:26" ht="60" customHeight="1" hidden="1">
      <c r="A111" s="225"/>
      <c r="B111" s="225"/>
      <c r="C111" s="225"/>
      <c r="D111" s="225"/>
      <c r="E111" s="860" t="s">
        <v>440</v>
      </c>
      <c r="F111" s="861"/>
      <c r="G111" s="223"/>
      <c r="H111" s="863">
        <v>2020304100000</v>
      </c>
      <c r="I111" s="863"/>
      <c r="J111" s="863"/>
      <c r="K111" s="268"/>
      <c r="L111" s="268"/>
      <c r="M111" s="233"/>
      <c r="N111" s="233">
        <v>220</v>
      </c>
      <c r="O111" s="233"/>
      <c r="P111" s="233"/>
      <c r="Q111" s="233"/>
      <c r="R111" s="233"/>
      <c r="S111" s="15"/>
      <c r="T111" s="15"/>
      <c r="U111" s="15"/>
      <c r="V111" s="253">
        <f t="shared" si="9"/>
        <v>0</v>
      </c>
      <c r="W111" s="156">
        <f t="shared" si="12"/>
        <v>0</v>
      </c>
      <c r="X111" s="162">
        <f t="shared" si="10"/>
        <v>-220</v>
      </c>
      <c r="Y111" s="232"/>
      <c r="Z111" s="232"/>
    </row>
    <row r="112" spans="1:26" ht="45" customHeight="1" hidden="1">
      <c r="A112" s="225"/>
      <c r="B112" s="225"/>
      <c r="C112" s="225"/>
      <c r="D112" s="225"/>
      <c r="E112" s="860" t="s">
        <v>440</v>
      </c>
      <c r="F112" s="861"/>
      <c r="G112" s="223"/>
      <c r="H112" s="863">
        <v>2020304105000</v>
      </c>
      <c r="I112" s="863"/>
      <c r="J112" s="863"/>
      <c r="K112" s="268"/>
      <c r="L112" s="268"/>
      <c r="M112" s="233"/>
      <c r="N112" s="233">
        <v>220</v>
      </c>
      <c r="O112" s="233"/>
      <c r="P112" s="233"/>
      <c r="Q112" s="233"/>
      <c r="R112" s="233"/>
      <c r="S112" s="15"/>
      <c r="T112" s="15"/>
      <c r="U112" s="15"/>
      <c r="V112" s="253">
        <f t="shared" si="9"/>
        <v>0</v>
      </c>
      <c r="W112" s="156">
        <f t="shared" si="12"/>
        <v>0</v>
      </c>
      <c r="X112" s="162">
        <f t="shared" si="10"/>
        <v>-220</v>
      </c>
      <c r="Y112" s="232"/>
      <c r="Z112" s="232"/>
    </row>
    <row r="113" spans="1:26" ht="53.25" customHeight="1" hidden="1">
      <c r="A113" s="225"/>
      <c r="B113" s="225"/>
      <c r="C113" s="225"/>
      <c r="D113" s="225"/>
      <c r="E113" s="860" t="s">
        <v>441</v>
      </c>
      <c r="F113" s="861"/>
      <c r="G113" s="223"/>
      <c r="H113" s="863">
        <v>2020304200000</v>
      </c>
      <c r="I113" s="863"/>
      <c r="J113" s="863"/>
      <c r="K113" s="268"/>
      <c r="L113" s="268"/>
      <c r="M113" s="233"/>
      <c r="N113" s="233">
        <v>263.76</v>
      </c>
      <c r="O113" s="233"/>
      <c r="P113" s="233"/>
      <c r="Q113" s="233"/>
      <c r="R113" s="233"/>
      <c r="S113" s="15"/>
      <c r="T113" s="15"/>
      <c r="U113" s="15"/>
      <c r="V113" s="253">
        <f t="shared" si="9"/>
        <v>0</v>
      </c>
      <c r="W113" s="156">
        <f t="shared" si="12"/>
        <v>0</v>
      </c>
      <c r="X113" s="162">
        <f t="shared" si="10"/>
        <v>-263.76</v>
      </c>
      <c r="Y113" s="232"/>
      <c r="Z113" s="232"/>
    </row>
    <row r="114" spans="1:26" ht="36" customHeight="1" hidden="1">
      <c r="A114" s="225"/>
      <c r="B114" s="225"/>
      <c r="C114" s="225"/>
      <c r="D114" s="225"/>
      <c r="E114" s="860" t="s">
        <v>441</v>
      </c>
      <c r="F114" s="861"/>
      <c r="G114" s="223"/>
      <c r="H114" s="863">
        <v>2020304205000</v>
      </c>
      <c r="I114" s="863"/>
      <c r="J114" s="863"/>
      <c r="K114" s="268"/>
      <c r="L114" s="268"/>
      <c r="M114" s="233"/>
      <c r="N114" s="233">
        <v>263.7</v>
      </c>
      <c r="O114" s="233"/>
      <c r="P114" s="233"/>
      <c r="Q114" s="233"/>
      <c r="R114" s="233"/>
      <c r="S114" s="15"/>
      <c r="T114" s="15"/>
      <c r="U114" s="15"/>
      <c r="V114" s="253">
        <f t="shared" si="9"/>
        <v>0</v>
      </c>
      <c r="W114" s="156">
        <f t="shared" si="12"/>
        <v>0</v>
      </c>
      <c r="X114" s="162">
        <f t="shared" si="10"/>
        <v>-263.7</v>
      </c>
      <c r="Y114" s="232"/>
      <c r="Z114" s="232"/>
    </row>
    <row r="115" spans="1:26" ht="36" customHeight="1" hidden="1">
      <c r="A115" s="225"/>
      <c r="B115" s="225"/>
      <c r="C115" s="225"/>
      <c r="D115" s="225"/>
      <c r="E115" s="860" t="s">
        <v>442</v>
      </c>
      <c r="F115" s="861"/>
      <c r="G115" s="223"/>
      <c r="H115" s="863">
        <v>2020304500000</v>
      </c>
      <c r="I115" s="863"/>
      <c r="J115" s="863"/>
      <c r="K115" s="268"/>
      <c r="L115" s="268"/>
      <c r="M115" s="233"/>
      <c r="N115" s="233">
        <v>3808</v>
      </c>
      <c r="O115" s="233"/>
      <c r="P115" s="233"/>
      <c r="Q115" s="233"/>
      <c r="R115" s="233"/>
      <c r="S115" s="15"/>
      <c r="T115" s="15"/>
      <c r="U115" s="15"/>
      <c r="V115" s="253">
        <f t="shared" si="9"/>
        <v>0</v>
      </c>
      <c r="W115" s="156">
        <f t="shared" si="12"/>
        <v>0</v>
      </c>
      <c r="X115" s="162">
        <f t="shared" si="10"/>
        <v>-3808</v>
      </c>
      <c r="Y115" s="232"/>
      <c r="Z115" s="232"/>
    </row>
    <row r="116" spans="1:26" ht="36" customHeight="1" hidden="1">
      <c r="A116" s="225"/>
      <c r="B116" s="225"/>
      <c r="C116" s="225"/>
      <c r="D116" s="225"/>
      <c r="E116" s="860" t="s">
        <v>442</v>
      </c>
      <c r="F116" s="861"/>
      <c r="G116" s="223"/>
      <c r="H116" s="863">
        <v>2020304500000</v>
      </c>
      <c r="I116" s="863"/>
      <c r="J116" s="863"/>
      <c r="K116" s="268"/>
      <c r="L116" s="268"/>
      <c r="M116" s="233"/>
      <c r="N116" s="233">
        <v>3808</v>
      </c>
      <c r="O116" s="233"/>
      <c r="P116" s="233"/>
      <c r="Q116" s="233"/>
      <c r="R116" s="233"/>
      <c r="S116" s="15"/>
      <c r="T116" s="15"/>
      <c r="U116" s="15"/>
      <c r="V116" s="253">
        <f t="shared" si="9"/>
        <v>0</v>
      </c>
      <c r="W116" s="156">
        <f t="shared" si="12"/>
        <v>0</v>
      </c>
      <c r="X116" s="162">
        <f t="shared" si="10"/>
        <v>-3808</v>
      </c>
      <c r="Y116" s="232"/>
      <c r="Z116" s="232"/>
    </row>
    <row r="117" spans="1:26" ht="36" customHeight="1" hidden="1">
      <c r="A117" s="225"/>
      <c r="B117" s="225"/>
      <c r="C117" s="225"/>
      <c r="D117" s="225"/>
      <c r="E117" s="860" t="s">
        <v>443</v>
      </c>
      <c r="F117" s="861"/>
      <c r="G117" s="223"/>
      <c r="H117" s="863">
        <v>2020304600000</v>
      </c>
      <c r="I117" s="863"/>
      <c r="J117" s="863"/>
      <c r="K117" s="268"/>
      <c r="L117" s="268"/>
      <c r="M117" s="233"/>
      <c r="N117" s="233">
        <v>11760</v>
      </c>
      <c r="O117" s="233"/>
      <c r="P117" s="233"/>
      <c r="Q117" s="233"/>
      <c r="R117" s="233"/>
      <c r="S117" s="15"/>
      <c r="T117" s="15"/>
      <c r="U117" s="15"/>
      <c r="V117" s="253">
        <f t="shared" si="9"/>
        <v>0</v>
      </c>
      <c r="W117" s="156">
        <f t="shared" si="12"/>
        <v>0</v>
      </c>
      <c r="X117" s="162">
        <f t="shared" si="10"/>
        <v>-11760</v>
      </c>
      <c r="Y117" s="232"/>
      <c r="Z117" s="232"/>
    </row>
    <row r="118" spans="1:26" ht="36" customHeight="1" hidden="1">
      <c r="A118" s="225"/>
      <c r="B118" s="225"/>
      <c r="C118" s="225"/>
      <c r="D118" s="225"/>
      <c r="E118" s="860" t="s">
        <v>443</v>
      </c>
      <c r="F118" s="861"/>
      <c r="G118" s="223"/>
      <c r="H118" s="863">
        <v>2020304605000</v>
      </c>
      <c r="I118" s="863"/>
      <c r="J118" s="863"/>
      <c r="K118" s="268"/>
      <c r="L118" s="268"/>
      <c r="M118" s="233"/>
      <c r="N118" s="233">
        <v>11760</v>
      </c>
      <c r="O118" s="233"/>
      <c r="P118" s="233"/>
      <c r="Q118" s="233"/>
      <c r="R118" s="233"/>
      <c r="S118" s="15"/>
      <c r="T118" s="15"/>
      <c r="U118" s="15"/>
      <c r="V118" s="253">
        <f t="shared" si="9"/>
        <v>0</v>
      </c>
      <c r="W118" s="156">
        <f t="shared" si="12"/>
        <v>0</v>
      </c>
      <c r="X118" s="162">
        <f t="shared" si="10"/>
        <v>-11760</v>
      </c>
      <c r="Y118" s="232"/>
      <c r="Z118" s="232"/>
    </row>
    <row r="119" spans="1:26" ht="36" customHeight="1" hidden="1">
      <c r="A119" s="225"/>
      <c r="B119" s="225"/>
      <c r="C119" s="225"/>
      <c r="D119" s="225"/>
      <c r="E119" s="860" t="s">
        <v>444</v>
      </c>
      <c r="F119" s="861"/>
      <c r="G119" s="223"/>
      <c r="H119" s="863">
        <v>2020304600000</v>
      </c>
      <c r="I119" s="863"/>
      <c r="J119" s="863"/>
      <c r="K119" s="268"/>
      <c r="L119" s="268"/>
      <c r="M119" s="233"/>
      <c r="N119" s="233">
        <v>1412</v>
      </c>
      <c r="O119" s="233"/>
      <c r="P119" s="233"/>
      <c r="Q119" s="233"/>
      <c r="R119" s="233"/>
      <c r="S119" s="15"/>
      <c r="T119" s="15"/>
      <c r="U119" s="15"/>
      <c r="V119" s="253">
        <f t="shared" si="9"/>
        <v>0</v>
      </c>
      <c r="W119" s="156">
        <f t="shared" si="12"/>
        <v>0</v>
      </c>
      <c r="X119" s="162">
        <f t="shared" si="10"/>
        <v>-1412</v>
      </c>
      <c r="Y119" s="232"/>
      <c r="Z119" s="232"/>
    </row>
    <row r="120" spans="1:26" ht="36" customHeight="1" hidden="1">
      <c r="A120" s="225"/>
      <c r="B120" s="225"/>
      <c r="C120" s="225"/>
      <c r="D120" s="225"/>
      <c r="E120" s="860" t="s">
        <v>444</v>
      </c>
      <c r="F120" s="861"/>
      <c r="G120" s="223"/>
      <c r="H120" s="863">
        <v>2020304605000</v>
      </c>
      <c r="I120" s="863"/>
      <c r="J120" s="863"/>
      <c r="K120" s="268"/>
      <c r="L120" s="268"/>
      <c r="M120" s="233"/>
      <c r="N120" s="233">
        <v>1412</v>
      </c>
      <c r="O120" s="233"/>
      <c r="P120" s="233"/>
      <c r="Q120" s="233"/>
      <c r="R120" s="233"/>
      <c r="S120" s="15"/>
      <c r="T120" s="15"/>
      <c r="U120" s="15"/>
      <c r="V120" s="253">
        <f t="shared" si="9"/>
        <v>0</v>
      </c>
      <c r="W120" s="156">
        <f t="shared" si="12"/>
        <v>0</v>
      </c>
      <c r="X120" s="162">
        <f t="shared" si="10"/>
        <v>-1412</v>
      </c>
      <c r="Y120" s="232"/>
      <c r="Z120" s="232"/>
    </row>
    <row r="121" spans="1:27" s="5" customFormat="1" ht="36" customHeight="1">
      <c r="A121" s="270"/>
      <c r="B121" s="270"/>
      <c r="C121" s="880" t="s">
        <v>199</v>
      </c>
      <c r="D121" s="880"/>
      <c r="E121" s="880"/>
      <c r="F121" s="880"/>
      <c r="G121" s="880"/>
      <c r="H121" s="878" t="s">
        <v>53</v>
      </c>
      <c r="I121" s="878"/>
      <c r="J121" s="878"/>
      <c r="K121" s="879"/>
      <c r="L121" s="879"/>
      <c r="M121" s="32">
        <v>235782.7</v>
      </c>
      <c r="N121" s="32">
        <v>213073.48</v>
      </c>
      <c r="O121" s="32"/>
      <c r="P121" s="32"/>
      <c r="Q121" s="32">
        <v>225960.3</v>
      </c>
      <c r="R121" s="32">
        <v>227627</v>
      </c>
      <c r="S121" s="77">
        <f>S122+S123+S124+S125</f>
        <v>357608.2</v>
      </c>
      <c r="T121" s="77">
        <f>SUM(T122:T128)</f>
        <v>354382.49999999994</v>
      </c>
      <c r="U121" s="291">
        <f>SUM(U122:U128)</f>
        <v>383722.69999999995</v>
      </c>
      <c r="V121" s="253">
        <f t="shared" si="9"/>
        <v>29340.20000000001</v>
      </c>
      <c r="W121" s="77">
        <f>W122+W123+W124+W125+W126+W128</f>
        <v>5.3124133387415755</v>
      </c>
      <c r="X121" s="77">
        <f>X122+X123+X124+X125+X126+X128</f>
        <v>108402.72</v>
      </c>
      <c r="Y121" s="77">
        <f>Y122+Y123+Y124+Y125+Y126+Y128</f>
        <v>252751.90000000002</v>
      </c>
      <c r="Z121" s="77">
        <f>Z122+Z123+Z124+Z125+Z126+Z128</f>
        <v>253546.40000000002</v>
      </c>
      <c r="AA121" s="124"/>
    </row>
    <row r="122" spans="1:26" ht="51.75" customHeight="1">
      <c r="A122" s="225"/>
      <c r="B122" s="225"/>
      <c r="C122" s="225"/>
      <c r="D122" s="225"/>
      <c r="E122" s="890" t="s">
        <v>449</v>
      </c>
      <c r="F122" s="891"/>
      <c r="G122" s="225">
        <v>300</v>
      </c>
      <c r="H122" s="863" t="s">
        <v>54</v>
      </c>
      <c r="I122" s="863"/>
      <c r="J122" s="863"/>
      <c r="K122" s="864"/>
      <c r="L122" s="864"/>
      <c r="M122" s="233"/>
      <c r="N122" s="233">
        <v>195304</v>
      </c>
      <c r="O122" s="233"/>
      <c r="P122" s="233"/>
      <c r="Q122" s="233"/>
      <c r="R122" s="233"/>
      <c r="S122" s="15">
        <v>293030</v>
      </c>
      <c r="T122" s="15">
        <v>317748</v>
      </c>
      <c r="U122" s="292">
        <v>340491</v>
      </c>
      <c r="V122" s="253">
        <f t="shared" si="9"/>
        <v>22743</v>
      </c>
      <c r="W122" s="156">
        <f>S122/N122</f>
        <v>1.5003788964895752</v>
      </c>
      <c r="X122" s="162">
        <f t="shared" si="10"/>
        <v>97726</v>
      </c>
      <c r="Y122" s="280">
        <v>220702</v>
      </c>
      <c r="Z122" s="280">
        <v>220702</v>
      </c>
    </row>
    <row r="123" spans="1:26" ht="93" customHeight="1">
      <c r="A123" s="225"/>
      <c r="B123" s="225"/>
      <c r="C123" s="225"/>
      <c r="D123" s="225"/>
      <c r="E123" s="890" t="s">
        <v>452</v>
      </c>
      <c r="F123" s="891"/>
      <c r="G123" s="223">
        <v>300</v>
      </c>
      <c r="H123" s="863" t="s">
        <v>54</v>
      </c>
      <c r="I123" s="863"/>
      <c r="J123" s="863"/>
      <c r="K123" s="864"/>
      <c r="L123" s="864"/>
      <c r="M123" s="233"/>
      <c r="N123" s="233">
        <v>384</v>
      </c>
      <c r="O123" s="233"/>
      <c r="P123" s="233"/>
      <c r="Q123" s="233"/>
      <c r="R123" s="233"/>
      <c r="S123" s="15">
        <v>408.5</v>
      </c>
      <c r="T123" s="15">
        <v>409</v>
      </c>
      <c r="U123" s="292">
        <v>440</v>
      </c>
      <c r="V123" s="253">
        <f t="shared" si="9"/>
        <v>31</v>
      </c>
      <c r="W123" s="156">
        <f>S123/N123</f>
        <v>1.0638020833333333</v>
      </c>
      <c r="X123" s="162">
        <f t="shared" si="10"/>
        <v>24.5</v>
      </c>
      <c r="Y123" s="280">
        <v>409</v>
      </c>
      <c r="Z123" s="280">
        <v>409</v>
      </c>
    </row>
    <row r="124" spans="1:26" ht="67.5" customHeight="1">
      <c r="A124" s="225"/>
      <c r="B124" s="225"/>
      <c r="C124" s="225"/>
      <c r="D124" s="225"/>
      <c r="E124" s="856" t="s">
        <v>450</v>
      </c>
      <c r="F124" s="857"/>
      <c r="G124" s="223" t="s">
        <v>514</v>
      </c>
      <c r="H124" s="863" t="s">
        <v>54</v>
      </c>
      <c r="I124" s="863"/>
      <c r="J124" s="863"/>
      <c r="K124" s="864"/>
      <c r="L124" s="864"/>
      <c r="M124" s="233">
        <v>235782.7</v>
      </c>
      <c r="N124" s="236">
        <v>237.3</v>
      </c>
      <c r="O124" s="236"/>
      <c r="P124" s="236"/>
      <c r="Q124" s="236">
        <v>225960.3</v>
      </c>
      <c r="R124" s="236">
        <v>227627</v>
      </c>
      <c r="S124" s="15">
        <v>227.7</v>
      </c>
      <c r="T124" s="15">
        <v>229.1</v>
      </c>
      <c r="U124" s="292">
        <v>250.9</v>
      </c>
      <c r="V124" s="253">
        <f t="shared" si="9"/>
        <v>21.80000000000001</v>
      </c>
      <c r="W124" s="156">
        <f>S124/N124</f>
        <v>0.9595448798988621</v>
      </c>
      <c r="X124" s="162">
        <f t="shared" si="10"/>
        <v>-9.600000000000023</v>
      </c>
      <c r="Y124" s="280">
        <v>213.2</v>
      </c>
      <c r="Z124" s="280">
        <v>213.2</v>
      </c>
    </row>
    <row r="125" spans="1:26" ht="63" customHeight="1">
      <c r="A125" s="225"/>
      <c r="B125" s="225"/>
      <c r="C125" s="225"/>
      <c r="D125" s="225"/>
      <c r="E125" s="920" t="s">
        <v>451</v>
      </c>
      <c r="F125" s="921"/>
      <c r="G125" s="248">
        <v>300</v>
      </c>
      <c r="H125" s="922"/>
      <c r="I125" s="922"/>
      <c r="J125" s="922"/>
      <c r="K125" s="910"/>
      <c r="L125" s="910"/>
      <c r="M125" s="247"/>
      <c r="N125" s="247">
        <v>35748</v>
      </c>
      <c r="O125" s="247"/>
      <c r="P125" s="247"/>
      <c r="Q125" s="247"/>
      <c r="R125" s="247"/>
      <c r="S125" s="15">
        <v>63942</v>
      </c>
      <c r="T125" s="15">
        <v>17372.8</v>
      </c>
      <c r="U125" s="292">
        <v>20100.1</v>
      </c>
      <c r="V125" s="253">
        <f t="shared" si="9"/>
        <v>2727.2999999999993</v>
      </c>
      <c r="W125" s="156">
        <f>S125/N125</f>
        <v>1.7886874790198053</v>
      </c>
      <c r="X125" s="162">
        <f t="shared" si="10"/>
        <v>28194</v>
      </c>
      <c r="Y125" s="280">
        <v>31427.7</v>
      </c>
      <c r="Z125" s="280">
        <v>32222.2</v>
      </c>
    </row>
    <row r="126" spans="1:26" ht="63" customHeight="1">
      <c r="A126" s="225"/>
      <c r="B126" s="225"/>
      <c r="C126" s="225"/>
      <c r="D126" s="225"/>
      <c r="E126" s="890" t="s">
        <v>70</v>
      </c>
      <c r="F126" s="891"/>
      <c r="G126" s="223"/>
      <c r="H126" s="863" t="s">
        <v>54</v>
      </c>
      <c r="I126" s="863"/>
      <c r="J126" s="863"/>
      <c r="K126" s="895"/>
      <c r="L126" s="896"/>
      <c r="M126" s="233"/>
      <c r="N126" s="233">
        <v>383.98</v>
      </c>
      <c r="O126" s="233"/>
      <c r="P126" s="233"/>
      <c r="Q126" s="233"/>
      <c r="R126" s="233"/>
      <c r="S126" s="232"/>
      <c r="T126" s="232">
        <v>360.6</v>
      </c>
      <c r="U126" s="293">
        <v>360.6</v>
      </c>
      <c r="V126" s="253">
        <f t="shared" si="9"/>
        <v>0</v>
      </c>
      <c r="W126" s="232"/>
      <c r="X126" s="162">
        <f t="shared" si="10"/>
        <v>-383.98</v>
      </c>
      <c r="Y126" s="232"/>
      <c r="Z126" s="232"/>
    </row>
    <row r="127" spans="1:26" ht="57.75" customHeight="1">
      <c r="A127" s="225"/>
      <c r="B127" s="225"/>
      <c r="C127" s="225"/>
      <c r="D127" s="225"/>
      <c r="E127" s="860" t="s">
        <v>89</v>
      </c>
      <c r="F127" s="861"/>
      <c r="G127" s="223"/>
      <c r="H127" s="863" t="s">
        <v>54</v>
      </c>
      <c r="I127" s="863"/>
      <c r="J127" s="863"/>
      <c r="K127" s="860"/>
      <c r="L127" s="861"/>
      <c r="M127" s="233"/>
      <c r="N127" s="233"/>
      <c r="O127" s="233"/>
      <c r="P127" s="233"/>
      <c r="Q127" s="233"/>
      <c r="R127" s="233"/>
      <c r="S127" s="232"/>
      <c r="T127" s="232"/>
      <c r="U127" s="232"/>
      <c r="V127" s="253">
        <f t="shared" si="9"/>
        <v>0</v>
      </c>
      <c r="W127" s="232"/>
      <c r="X127" s="162"/>
      <c r="Y127" s="232"/>
      <c r="Z127" s="232"/>
    </row>
    <row r="128" spans="1:26" ht="59.25" customHeight="1">
      <c r="A128" s="225"/>
      <c r="B128" s="225"/>
      <c r="C128" s="225"/>
      <c r="D128" s="225"/>
      <c r="E128" s="856" t="s">
        <v>71</v>
      </c>
      <c r="F128" s="857"/>
      <c r="G128" s="223"/>
      <c r="H128" s="863" t="s">
        <v>54</v>
      </c>
      <c r="I128" s="863"/>
      <c r="J128" s="863"/>
      <c r="K128" s="895"/>
      <c r="L128" s="896"/>
      <c r="M128" s="233"/>
      <c r="N128" s="233">
        <v>17148.2</v>
      </c>
      <c r="O128" s="233"/>
      <c r="P128" s="233"/>
      <c r="Q128" s="233"/>
      <c r="R128" s="233"/>
      <c r="S128" s="232"/>
      <c r="T128" s="232">
        <v>18263</v>
      </c>
      <c r="U128" s="293">
        <v>22080.1</v>
      </c>
      <c r="V128" s="253">
        <f t="shared" si="9"/>
        <v>3817.0999999999985</v>
      </c>
      <c r="W128" s="232"/>
      <c r="X128" s="162">
        <f t="shared" si="10"/>
        <v>-17148.2</v>
      </c>
      <c r="Y128" s="232"/>
      <c r="Z128" s="232"/>
    </row>
    <row r="129" spans="1:26" ht="12.75" customHeight="1" hidden="1">
      <c r="A129" s="225"/>
      <c r="B129" s="225"/>
      <c r="C129" s="225"/>
      <c r="D129" s="225"/>
      <c r="E129" s="856" t="s">
        <v>343</v>
      </c>
      <c r="F129" s="857"/>
      <c r="G129" s="223"/>
      <c r="H129" s="863" t="s">
        <v>200</v>
      </c>
      <c r="I129" s="863"/>
      <c r="J129" s="863"/>
      <c r="K129" s="268"/>
      <c r="L129" s="268"/>
      <c r="M129" s="233"/>
      <c r="N129" s="233">
        <v>195304</v>
      </c>
      <c r="O129" s="233"/>
      <c r="P129" s="233"/>
      <c r="Q129" s="233"/>
      <c r="R129" s="233"/>
      <c r="S129" s="232"/>
      <c r="T129" s="232"/>
      <c r="U129" s="232"/>
      <c r="V129" s="253">
        <f t="shared" si="9"/>
        <v>0</v>
      </c>
      <c r="W129" s="232"/>
      <c r="X129" s="162">
        <f t="shared" si="10"/>
        <v>-195304</v>
      </c>
      <c r="Y129" s="232"/>
      <c r="Z129" s="232"/>
    </row>
    <row r="130" spans="1:26" ht="12.75" customHeight="1" hidden="1">
      <c r="A130" s="225"/>
      <c r="B130" s="225"/>
      <c r="C130" s="225"/>
      <c r="D130" s="225"/>
      <c r="E130" s="860"/>
      <c r="F130" s="861"/>
      <c r="G130" s="223"/>
      <c r="H130" s="863"/>
      <c r="I130" s="863"/>
      <c r="J130" s="863"/>
      <c r="K130" s="268"/>
      <c r="L130" s="268"/>
      <c r="M130" s="233"/>
      <c r="N130" s="233"/>
      <c r="O130" s="233"/>
      <c r="P130" s="233"/>
      <c r="Q130" s="233"/>
      <c r="R130" s="233"/>
      <c r="S130" s="232"/>
      <c r="T130" s="232"/>
      <c r="U130" s="232"/>
      <c r="V130" s="253">
        <f t="shared" si="9"/>
        <v>0</v>
      </c>
      <c r="W130" s="232"/>
      <c r="X130" s="162"/>
      <c r="Y130" s="232"/>
      <c r="Z130" s="232"/>
    </row>
    <row r="131" spans="1:26" ht="12.75" customHeight="1">
      <c r="A131" s="225"/>
      <c r="B131" s="225"/>
      <c r="C131" s="225"/>
      <c r="D131" s="225"/>
      <c r="E131" s="923" t="s">
        <v>325</v>
      </c>
      <c r="F131" s="924"/>
      <c r="G131" s="249"/>
      <c r="H131" s="925" t="s">
        <v>56</v>
      </c>
      <c r="I131" s="925"/>
      <c r="J131" s="925"/>
      <c r="K131" s="927"/>
      <c r="L131" s="927"/>
      <c r="M131" s="281">
        <v>121</v>
      </c>
      <c r="N131" s="281">
        <v>1286.77</v>
      </c>
      <c r="O131" s="281"/>
      <c r="P131" s="281"/>
      <c r="Q131" s="281"/>
      <c r="R131" s="281"/>
      <c r="S131" s="282">
        <f>S142</f>
        <v>1955.4</v>
      </c>
      <c r="T131" s="282">
        <f>T142</f>
        <v>236.1</v>
      </c>
      <c r="U131" s="282">
        <f>U142</f>
        <v>104.7</v>
      </c>
      <c r="V131" s="253">
        <f t="shared" si="9"/>
        <v>-131.39999999999998</v>
      </c>
      <c r="W131" s="232"/>
      <c r="X131" s="162">
        <f t="shared" si="10"/>
        <v>668.6300000000001</v>
      </c>
      <c r="Y131" s="232"/>
      <c r="Z131" s="232"/>
    </row>
    <row r="132" spans="1:26" ht="12.75" customHeight="1" hidden="1">
      <c r="A132" s="225"/>
      <c r="B132" s="225"/>
      <c r="C132" s="225"/>
      <c r="D132" s="225"/>
      <c r="E132" s="860" t="s">
        <v>344</v>
      </c>
      <c r="F132" s="861"/>
      <c r="G132" s="223"/>
      <c r="H132" s="863">
        <v>20204012050000</v>
      </c>
      <c r="I132" s="863"/>
      <c r="J132" s="863"/>
      <c r="K132" s="268"/>
      <c r="L132" s="268"/>
      <c r="M132" s="233"/>
      <c r="N132" s="233">
        <v>225.6</v>
      </c>
      <c r="O132" s="233"/>
      <c r="P132" s="233"/>
      <c r="Q132" s="233"/>
      <c r="R132" s="233"/>
      <c r="S132" s="232"/>
      <c r="T132" s="232"/>
      <c r="U132" s="232"/>
      <c r="V132" s="253">
        <f t="shared" si="9"/>
        <v>0</v>
      </c>
      <c r="W132" s="232"/>
      <c r="X132" s="162">
        <f t="shared" si="10"/>
        <v>-225.6</v>
      </c>
      <c r="Y132" s="232"/>
      <c r="Z132" s="232"/>
    </row>
    <row r="133" spans="1:26" ht="12.75" customHeight="1" hidden="1">
      <c r="A133" s="225"/>
      <c r="B133" s="225"/>
      <c r="C133" s="225"/>
      <c r="D133" s="225"/>
      <c r="E133" s="860" t="s">
        <v>345</v>
      </c>
      <c r="F133" s="861"/>
      <c r="G133" s="223"/>
      <c r="H133" s="863">
        <v>20204025050000</v>
      </c>
      <c r="I133" s="863"/>
      <c r="J133" s="863"/>
      <c r="K133" s="268"/>
      <c r="L133" s="268"/>
      <c r="M133" s="233"/>
      <c r="N133" s="233">
        <v>224.27</v>
      </c>
      <c r="O133" s="233"/>
      <c r="P133" s="233"/>
      <c r="Q133" s="233"/>
      <c r="R133" s="233"/>
      <c r="S133" s="232"/>
      <c r="T133" s="232"/>
      <c r="U133" s="232"/>
      <c r="V133" s="253">
        <f t="shared" si="9"/>
        <v>0</v>
      </c>
      <c r="W133" s="232"/>
      <c r="X133" s="162">
        <f t="shared" si="10"/>
        <v>-224.27</v>
      </c>
      <c r="Y133" s="232"/>
      <c r="Z133" s="232"/>
    </row>
    <row r="134" spans="1:26" ht="12.75" customHeight="1" hidden="1">
      <c r="A134" s="225"/>
      <c r="B134" s="225"/>
      <c r="C134" s="225"/>
      <c r="D134" s="225"/>
      <c r="E134" s="860" t="s">
        <v>394</v>
      </c>
      <c r="F134" s="861"/>
      <c r="G134" s="223"/>
      <c r="H134" s="863">
        <v>20204999050000</v>
      </c>
      <c r="I134" s="863"/>
      <c r="J134" s="863"/>
      <c r="K134" s="268"/>
      <c r="L134" s="268"/>
      <c r="M134" s="233"/>
      <c r="N134" s="233">
        <v>35</v>
      </c>
      <c r="O134" s="233"/>
      <c r="P134" s="233"/>
      <c r="Q134" s="233"/>
      <c r="R134" s="233"/>
      <c r="S134" s="232"/>
      <c r="T134" s="232"/>
      <c r="U134" s="232"/>
      <c r="V134" s="253">
        <f t="shared" si="9"/>
        <v>0</v>
      </c>
      <c r="W134" s="232"/>
      <c r="X134" s="162">
        <f t="shared" si="10"/>
        <v>-35</v>
      </c>
      <c r="Y134" s="232"/>
      <c r="Z134" s="232"/>
    </row>
    <row r="135" spans="1:26" ht="12.75" customHeight="1" hidden="1">
      <c r="A135" s="225"/>
      <c r="B135" s="225"/>
      <c r="C135" s="225"/>
      <c r="D135" s="225"/>
      <c r="E135" s="860" t="s">
        <v>395</v>
      </c>
      <c r="F135" s="861"/>
      <c r="G135" s="223"/>
      <c r="H135" s="863"/>
      <c r="I135" s="863"/>
      <c r="J135" s="863"/>
      <c r="K135" s="268"/>
      <c r="L135" s="268"/>
      <c r="M135" s="233"/>
      <c r="N135" s="233">
        <v>801.9</v>
      </c>
      <c r="O135" s="233"/>
      <c r="P135" s="233"/>
      <c r="Q135" s="233"/>
      <c r="R135" s="233"/>
      <c r="S135" s="232"/>
      <c r="T135" s="232"/>
      <c r="U135" s="232"/>
      <c r="V135" s="253">
        <f t="shared" si="9"/>
        <v>0</v>
      </c>
      <c r="W135" s="232"/>
      <c r="X135" s="162">
        <f t="shared" si="10"/>
        <v>-801.9</v>
      </c>
      <c r="Y135" s="232"/>
      <c r="Z135" s="232"/>
    </row>
    <row r="136" spans="1:26" ht="12.75" customHeight="1" hidden="1">
      <c r="A136" s="225"/>
      <c r="B136" s="225"/>
      <c r="C136" s="225"/>
      <c r="D136" s="225"/>
      <c r="E136" s="860" t="s">
        <v>396</v>
      </c>
      <c r="F136" s="861"/>
      <c r="G136" s="223"/>
      <c r="H136" s="863"/>
      <c r="I136" s="863"/>
      <c r="J136" s="863"/>
      <c r="K136" s="268"/>
      <c r="L136" s="268"/>
      <c r="M136" s="233"/>
      <c r="N136" s="233">
        <v>80</v>
      </c>
      <c r="O136" s="233"/>
      <c r="P136" s="233"/>
      <c r="Q136" s="233"/>
      <c r="R136" s="233"/>
      <c r="S136" s="232"/>
      <c r="T136" s="232"/>
      <c r="U136" s="232"/>
      <c r="V136" s="253">
        <f t="shared" si="9"/>
        <v>0</v>
      </c>
      <c r="W136" s="232"/>
      <c r="X136" s="162">
        <f t="shared" si="10"/>
        <v>-80</v>
      </c>
      <c r="Y136" s="232"/>
      <c r="Z136" s="232"/>
    </row>
    <row r="137" spans="1:26" ht="12.75" customHeight="1" hidden="1">
      <c r="A137" s="225"/>
      <c r="B137" s="225"/>
      <c r="C137" s="225"/>
      <c r="D137" s="225"/>
      <c r="E137" s="223"/>
      <c r="F137" s="223"/>
      <c r="G137" s="223"/>
      <c r="H137" s="863"/>
      <c r="I137" s="863"/>
      <c r="J137" s="863"/>
      <c r="K137" s="268"/>
      <c r="L137" s="268"/>
      <c r="M137" s="233"/>
      <c r="N137" s="233">
        <v>-4242.5</v>
      </c>
      <c r="O137" s="233"/>
      <c r="P137" s="233"/>
      <c r="Q137" s="233"/>
      <c r="R137" s="233"/>
      <c r="S137" s="232"/>
      <c r="T137" s="232"/>
      <c r="U137" s="232"/>
      <c r="V137" s="253">
        <f t="shared" si="9"/>
        <v>0</v>
      </c>
      <c r="W137" s="232"/>
      <c r="X137" s="162">
        <f t="shared" si="10"/>
        <v>4242.5</v>
      </c>
      <c r="Y137" s="232"/>
      <c r="Z137" s="232"/>
    </row>
    <row r="138" spans="1:26" ht="12.75" customHeight="1" hidden="1">
      <c r="A138" s="225"/>
      <c r="B138" s="225"/>
      <c r="C138" s="225"/>
      <c r="D138" s="225"/>
      <c r="E138" s="223"/>
      <c r="F138" s="223"/>
      <c r="G138" s="223"/>
      <c r="H138" s="863"/>
      <c r="I138" s="863"/>
      <c r="J138" s="863"/>
      <c r="K138" s="268"/>
      <c r="L138" s="268"/>
      <c r="M138" s="233"/>
      <c r="N138" s="233">
        <v>642</v>
      </c>
      <c r="O138" s="233"/>
      <c r="P138" s="233"/>
      <c r="Q138" s="233"/>
      <c r="R138" s="233"/>
      <c r="S138" s="232"/>
      <c r="T138" s="232"/>
      <c r="U138" s="232"/>
      <c r="V138" s="253">
        <f t="shared" si="9"/>
        <v>0</v>
      </c>
      <c r="W138" s="232"/>
      <c r="X138" s="162">
        <f t="shared" si="10"/>
        <v>-642</v>
      </c>
      <c r="Y138" s="232"/>
      <c r="Z138" s="232"/>
    </row>
    <row r="139" spans="1:26" ht="12.75" customHeight="1" hidden="1">
      <c r="A139" s="225"/>
      <c r="B139" s="225"/>
      <c r="C139" s="225"/>
      <c r="D139" s="225"/>
      <c r="E139" s="223"/>
      <c r="F139" s="223"/>
      <c r="G139" s="223"/>
      <c r="H139" s="863"/>
      <c r="I139" s="863"/>
      <c r="J139" s="863"/>
      <c r="K139" s="268"/>
      <c r="L139" s="268"/>
      <c r="M139" s="233"/>
      <c r="N139" s="233">
        <v>642</v>
      </c>
      <c r="O139" s="233"/>
      <c r="P139" s="233"/>
      <c r="Q139" s="233"/>
      <c r="R139" s="233"/>
      <c r="S139" s="232"/>
      <c r="T139" s="232"/>
      <c r="U139" s="232"/>
      <c r="V139" s="253">
        <f t="shared" si="9"/>
        <v>0</v>
      </c>
      <c r="W139" s="232"/>
      <c r="X139" s="162">
        <f t="shared" si="10"/>
        <v>-642</v>
      </c>
      <c r="Y139" s="232"/>
      <c r="Z139" s="232"/>
    </row>
    <row r="140" spans="1:26" ht="12.75" customHeight="1" hidden="1">
      <c r="A140" s="225"/>
      <c r="B140" s="225"/>
      <c r="C140" s="225"/>
      <c r="D140" s="225"/>
      <c r="E140" s="223"/>
      <c r="F140" s="223"/>
      <c r="G140" s="223"/>
      <c r="H140" s="863"/>
      <c r="I140" s="863"/>
      <c r="J140" s="863"/>
      <c r="K140" s="268"/>
      <c r="L140" s="268"/>
      <c r="M140" s="233"/>
      <c r="N140" s="233">
        <v>170</v>
      </c>
      <c r="O140" s="233"/>
      <c r="P140" s="233"/>
      <c r="Q140" s="233"/>
      <c r="R140" s="233"/>
      <c r="S140" s="232"/>
      <c r="T140" s="232"/>
      <c r="U140" s="232"/>
      <c r="V140" s="253">
        <f t="shared" si="9"/>
        <v>0</v>
      </c>
      <c r="W140" s="232"/>
      <c r="X140" s="162">
        <f t="shared" si="10"/>
        <v>-170</v>
      </c>
      <c r="Y140" s="232"/>
      <c r="Z140" s="232"/>
    </row>
    <row r="141" spans="1:26" ht="12.75" customHeight="1" hidden="1">
      <c r="A141" s="225"/>
      <c r="B141" s="225"/>
      <c r="C141" s="225"/>
      <c r="D141" s="225"/>
      <c r="E141" s="223"/>
      <c r="F141" s="223"/>
      <c r="G141" s="223"/>
      <c r="H141" s="863"/>
      <c r="I141" s="863"/>
      <c r="J141" s="863"/>
      <c r="K141" s="268"/>
      <c r="L141" s="268"/>
      <c r="M141" s="233"/>
      <c r="N141" s="233">
        <v>170</v>
      </c>
      <c r="O141" s="233"/>
      <c r="P141" s="233"/>
      <c r="Q141" s="233"/>
      <c r="R141" s="233"/>
      <c r="S141" s="232"/>
      <c r="T141" s="232"/>
      <c r="U141" s="232"/>
      <c r="V141" s="253">
        <f t="shared" si="9"/>
        <v>0</v>
      </c>
      <c r="W141" s="232"/>
      <c r="X141" s="162">
        <f t="shared" si="10"/>
        <v>-170</v>
      </c>
      <c r="Y141" s="232"/>
      <c r="Z141" s="232"/>
    </row>
    <row r="142" spans="1:27" s="8" customFormat="1" ht="12.75" customHeight="1">
      <c r="A142" s="269"/>
      <c r="B142" s="868" t="s">
        <v>201</v>
      </c>
      <c r="C142" s="868"/>
      <c r="D142" s="868"/>
      <c r="E142" s="868"/>
      <c r="F142" s="868"/>
      <c r="G142" s="868"/>
      <c r="H142" s="869" t="s">
        <v>56</v>
      </c>
      <c r="I142" s="869"/>
      <c r="J142" s="869"/>
      <c r="K142" s="870"/>
      <c r="L142" s="870"/>
      <c r="M142" s="31">
        <v>121</v>
      </c>
      <c r="N142" s="31"/>
      <c r="O142" s="31"/>
      <c r="P142" s="31"/>
      <c r="Q142" s="31">
        <v>121</v>
      </c>
      <c r="R142" s="31">
        <v>121</v>
      </c>
      <c r="S142" s="43">
        <f>S143</f>
        <v>1955.4</v>
      </c>
      <c r="T142" s="43">
        <f>T143</f>
        <v>236.1</v>
      </c>
      <c r="U142" s="43">
        <f>U143+U144</f>
        <v>104.7</v>
      </c>
      <c r="V142" s="253">
        <f>U142-T142</f>
        <v>-131.39999999999998</v>
      </c>
      <c r="W142" s="43"/>
      <c r="X142" s="162">
        <f t="shared" si="10"/>
        <v>1955.4</v>
      </c>
      <c r="Y142" s="43"/>
      <c r="Z142" s="43"/>
      <c r="AA142" s="123"/>
    </row>
    <row r="143" spans="1:26" ht="56.25" customHeight="1">
      <c r="A143" s="225"/>
      <c r="B143" s="225"/>
      <c r="C143" s="225"/>
      <c r="D143" s="225"/>
      <c r="E143" s="856" t="s">
        <v>55</v>
      </c>
      <c r="F143" s="857"/>
      <c r="G143" s="223" t="s">
        <v>514</v>
      </c>
      <c r="H143" s="863" t="s">
        <v>57</v>
      </c>
      <c r="I143" s="863"/>
      <c r="J143" s="863"/>
      <c r="K143" s="864"/>
      <c r="L143" s="864"/>
      <c r="M143" s="233">
        <v>121</v>
      </c>
      <c r="N143" s="236">
        <v>224.27</v>
      </c>
      <c r="O143" s="236"/>
      <c r="P143" s="236"/>
      <c r="Q143" s="236">
        <v>121</v>
      </c>
      <c r="R143" s="236">
        <v>121</v>
      </c>
      <c r="S143" s="15">
        <v>1955.4</v>
      </c>
      <c r="T143" s="15">
        <v>236.1</v>
      </c>
      <c r="U143" s="15">
        <v>33.2</v>
      </c>
      <c r="V143" s="253">
        <f>U143-T143</f>
        <v>-202.89999999999998</v>
      </c>
      <c r="W143" s="156">
        <f>S143/N143</f>
        <v>8.718954831230214</v>
      </c>
      <c r="X143" s="162">
        <f t="shared" si="10"/>
        <v>1731.13</v>
      </c>
      <c r="Y143" s="280">
        <v>228.3</v>
      </c>
      <c r="Z143" s="280">
        <v>228.3</v>
      </c>
    </row>
    <row r="144" spans="1:26" ht="56.25" customHeight="1">
      <c r="A144" s="225"/>
      <c r="B144" s="225"/>
      <c r="C144" s="225"/>
      <c r="D144" s="225"/>
      <c r="E144" s="856" t="s">
        <v>62</v>
      </c>
      <c r="F144" s="857"/>
      <c r="G144" s="223" t="s">
        <v>514</v>
      </c>
      <c r="H144" s="863" t="s">
        <v>57</v>
      </c>
      <c r="I144" s="863"/>
      <c r="J144" s="863"/>
      <c r="K144" s="268"/>
      <c r="L144" s="268"/>
      <c r="M144" s="233"/>
      <c r="N144" s="236"/>
      <c r="O144" s="236"/>
      <c r="P144" s="236"/>
      <c r="Q144" s="236"/>
      <c r="R144" s="236"/>
      <c r="S144" s="15"/>
      <c r="T144" s="15">
        <v>0</v>
      </c>
      <c r="U144" s="15">
        <v>71.5</v>
      </c>
      <c r="V144" s="253"/>
      <c r="W144" s="156"/>
      <c r="X144" s="162"/>
      <c r="Y144" s="280"/>
      <c r="Z144" s="280"/>
    </row>
    <row r="145" spans="1:27" s="2" customFormat="1" ht="34.5" customHeight="1">
      <c r="A145" s="180"/>
      <c r="B145" s="180"/>
      <c r="C145" s="180"/>
      <c r="D145" s="180"/>
      <c r="E145" s="926" t="s">
        <v>463</v>
      </c>
      <c r="F145" s="926"/>
      <c r="G145" s="926"/>
      <c r="H145" s="926"/>
      <c r="I145" s="926"/>
      <c r="J145" s="926"/>
      <c r="K145" s="926"/>
      <c r="L145" s="926"/>
      <c r="M145" s="78" t="e">
        <f>M83+M84+#REF!</f>
        <v>#REF!</v>
      </c>
      <c r="N145" s="78" t="e">
        <f>N83+N84+#REF!</f>
        <v>#REF!</v>
      </c>
      <c r="O145" s="78" t="e">
        <f>O83+O84+#REF!</f>
        <v>#REF!</v>
      </c>
      <c r="P145" s="78" t="e">
        <f>P83+P84+#REF!</f>
        <v>#REF!</v>
      </c>
      <c r="Q145" s="78" t="e">
        <f>Q83+Q84+#REF!</f>
        <v>#REF!</v>
      </c>
      <c r="R145" s="78" t="e">
        <f>R83+R84+#REF!</f>
        <v>#REF!</v>
      </c>
      <c r="S145" s="78" t="e">
        <f>S83+S84</f>
        <v>#REF!</v>
      </c>
      <c r="T145" s="78">
        <f>T83+T84</f>
        <v>716816.7999999999</v>
      </c>
      <c r="U145" s="78">
        <f>U83+U84</f>
        <v>759213.5</v>
      </c>
      <c r="V145" s="253">
        <f>U145-T145</f>
        <v>42396.70000000007</v>
      </c>
      <c r="W145" s="156" t="e">
        <f>S145/N145</f>
        <v>#REF!</v>
      </c>
      <c r="X145" s="162" t="e">
        <f t="shared" si="10"/>
        <v>#REF!</v>
      </c>
      <c r="Y145" s="181" t="e">
        <f>Y83+Y84+#REF!</f>
        <v>#REF!</v>
      </c>
      <c r="Z145" s="181" t="e">
        <f>Z83+Z84+#REF!</f>
        <v>#REF!</v>
      </c>
      <c r="AA145" s="122"/>
    </row>
    <row r="146" spans="2:5" ht="12.75">
      <c r="B146" s="182"/>
      <c r="C146" s="183"/>
      <c r="D146" s="184"/>
      <c r="E146" s="183"/>
    </row>
    <row r="147" spans="3:18" ht="12.75">
      <c r="C147" s="185"/>
      <c r="D147" s="186"/>
      <c r="E147" s="185"/>
      <c r="H147" s="4" t="s">
        <v>461</v>
      </c>
      <c r="M147" s="4">
        <v>80733</v>
      </c>
      <c r="Q147" s="4">
        <v>94199</v>
      </c>
      <c r="R147" s="4">
        <v>94413</v>
      </c>
    </row>
    <row r="148" spans="3:19" ht="12.75">
      <c r="C148" s="185"/>
      <c r="D148" s="186"/>
      <c r="E148" s="185"/>
      <c r="H148" s="4" t="s">
        <v>459</v>
      </c>
      <c r="M148" s="4" t="e">
        <f>M13+M19+M26+M31+M37+M39+M41+M46</f>
        <v>#REF!</v>
      </c>
      <c r="Q148" s="4" t="e">
        <f>Q13+Q19+Q26+Q31+Q37+Q39+Q41+Q46</f>
        <v>#REF!</v>
      </c>
      <c r="R148" s="4" t="e">
        <f>R13+R19+R26+R31+R37+R39+R41+R46</f>
        <v>#REF!</v>
      </c>
      <c r="S148" s="4">
        <f>S83</f>
        <v>175157</v>
      </c>
    </row>
    <row r="149" spans="3:19" ht="12.75">
      <c r="C149" s="185"/>
      <c r="D149" s="186"/>
      <c r="E149" s="185"/>
      <c r="H149" s="4" t="s">
        <v>460</v>
      </c>
      <c r="M149" s="4" t="e">
        <f>M84+#REF!</f>
        <v>#REF!</v>
      </c>
      <c r="Q149" s="4" t="e">
        <f>Q84+#REF!</f>
        <v>#REF!</v>
      </c>
      <c r="R149" s="4" t="e">
        <f>R84+#REF!</f>
        <v>#REF!</v>
      </c>
      <c r="S149" s="4" t="e">
        <f>S84</f>
        <v>#REF!</v>
      </c>
    </row>
    <row r="150" spans="3:18" ht="12.75">
      <c r="C150" s="185"/>
      <c r="D150" s="186"/>
      <c r="E150" s="185"/>
      <c r="H150" s="4" t="s">
        <v>398</v>
      </c>
      <c r="M150" s="4" t="e">
        <f>(M145-M149-M147)*5%</f>
        <v>#REF!</v>
      </c>
      <c r="Q150" s="4" t="e">
        <f>(Q145-Q149-Q147)*5%</f>
        <v>#REF!</v>
      </c>
      <c r="R150" s="4" t="e">
        <f>(R145-R149-R147)*5%</f>
        <v>#REF!</v>
      </c>
    </row>
    <row r="151" spans="3:18" ht="12.75">
      <c r="C151" s="185"/>
      <c r="D151" s="186"/>
      <c r="E151" s="185"/>
      <c r="H151" s="4" t="s">
        <v>462</v>
      </c>
      <c r="M151" s="4">
        <v>2452.5</v>
      </c>
      <c r="Q151" s="4">
        <v>2086.5</v>
      </c>
      <c r="R151" s="4">
        <v>3224.8</v>
      </c>
    </row>
    <row r="152" spans="3:26" ht="12.75">
      <c r="C152" s="185"/>
      <c r="D152" s="186"/>
      <c r="E152" s="185"/>
      <c r="T152" s="4">
        <f>T145-'[1]прил_6'!H1201</f>
        <v>57612.23599999992</v>
      </c>
      <c r="U152" s="4">
        <f>U145-'[1]прил_6'!I1201</f>
        <v>49938.398000000045</v>
      </c>
      <c r="V152" s="4">
        <f>V145-'[1]прил_6'!I1201</f>
        <v>-666878.4019999999</v>
      </c>
      <c r="W152" s="4" t="e">
        <f>W145-'[1]прил_6'!K1201</f>
        <v>#REF!</v>
      </c>
      <c r="X152" s="4" t="e">
        <f>X145-'[1]прил_6'!L1201</f>
        <v>#REF!</v>
      </c>
      <c r="Y152" s="4" t="e">
        <f>Y145-'[1]прил_6'!M1201</f>
        <v>#REF!</v>
      </c>
      <c r="Z152" s="4" t="e">
        <f>Z145-'[1]прил_6'!N1201</f>
        <v>#REF!</v>
      </c>
    </row>
    <row r="153" spans="3:18" ht="12.75">
      <c r="C153" s="185"/>
      <c r="D153" s="186"/>
      <c r="E153" s="185"/>
      <c r="M153" s="283"/>
      <c r="N153" s="283"/>
      <c r="O153" s="283"/>
      <c r="P153" s="283"/>
      <c r="Q153" s="283"/>
      <c r="R153" s="283"/>
    </row>
    <row r="154" spans="3:5" ht="12.75">
      <c r="C154" s="185"/>
      <c r="D154" s="186"/>
      <c r="E154" s="185"/>
    </row>
    <row r="155" spans="3:5" ht="12.75">
      <c r="C155" s="185"/>
      <c r="D155" s="186"/>
      <c r="E155" s="185"/>
    </row>
    <row r="156" spans="3:5" ht="12.75">
      <c r="C156" s="185"/>
      <c r="D156" s="186"/>
      <c r="E156" s="185"/>
    </row>
    <row r="157" spans="3:5" ht="12.75">
      <c r="C157" s="185"/>
      <c r="D157" s="186"/>
      <c r="E157" s="185"/>
    </row>
    <row r="158" spans="3:5" ht="12.75">
      <c r="C158" s="185"/>
      <c r="D158" s="186"/>
      <c r="E158" s="185"/>
    </row>
    <row r="159" spans="3:5" ht="12.75">
      <c r="C159" s="185"/>
      <c r="D159" s="186"/>
      <c r="E159" s="185"/>
    </row>
    <row r="160" spans="3:5" ht="12.75">
      <c r="C160" s="185"/>
      <c r="D160" s="186"/>
      <c r="E160" s="185"/>
    </row>
    <row r="161" spans="3:5" ht="12.75">
      <c r="C161" s="185"/>
      <c r="D161" s="186"/>
      <c r="E161" s="185"/>
    </row>
    <row r="162" spans="3:5" ht="12.75">
      <c r="C162" s="185"/>
      <c r="D162" s="186"/>
      <c r="E162" s="185"/>
    </row>
    <row r="163" spans="3:5" ht="12.75">
      <c r="C163" s="185"/>
      <c r="D163" s="186"/>
      <c r="E163" s="185"/>
    </row>
    <row r="164" spans="3:5" ht="12.75">
      <c r="C164" s="185"/>
      <c r="D164" s="186"/>
      <c r="E164" s="185"/>
    </row>
    <row r="165" spans="3:5" ht="12.75">
      <c r="C165" s="185"/>
      <c r="D165" s="186"/>
      <c r="E165" s="185"/>
    </row>
    <row r="166" spans="3:5" ht="12.75">
      <c r="C166" s="185"/>
      <c r="D166" s="186"/>
      <c r="E166" s="185"/>
    </row>
    <row r="167" spans="3:5" ht="12.75">
      <c r="C167" s="185"/>
      <c r="D167" s="186"/>
      <c r="E167" s="185"/>
    </row>
    <row r="168" spans="3:5" ht="12.75">
      <c r="C168" s="185"/>
      <c r="D168" s="186"/>
      <c r="E168" s="185"/>
    </row>
    <row r="169" spans="3:5" ht="12.75">
      <c r="C169" s="185"/>
      <c r="D169" s="186"/>
      <c r="E169" s="185"/>
    </row>
    <row r="170" spans="3:5" ht="12.75">
      <c r="C170" s="185"/>
      <c r="D170" s="186"/>
      <c r="E170" s="185"/>
    </row>
    <row r="171" spans="3:5" ht="12.75">
      <c r="C171" s="185"/>
      <c r="D171" s="186"/>
      <c r="E171" s="185"/>
    </row>
    <row r="172" spans="3:5" ht="12.75">
      <c r="C172" s="185"/>
      <c r="D172" s="186"/>
      <c r="E172" s="185"/>
    </row>
    <row r="173" spans="3:5" ht="12.75">
      <c r="C173" s="185"/>
      <c r="D173" s="186"/>
      <c r="E173" s="185"/>
    </row>
    <row r="174" spans="3:5" ht="12.75">
      <c r="C174" s="185"/>
      <c r="D174" s="186"/>
      <c r="E174" s="185"/>
    </row>
    <row r="175" spans="3:5" ht="12.75">
      <c r="C175" s="185"/>
      <c r="D175" s="186"/>
      <c r="E175" s="185"/>
    </row>
    <row r="176" spans="3:5" ht="12.75">
      <c r="C176" s="185"/>
      <c r="D176" s="186"/>
      <c r="E176" s="185"/>
    </row>
    <row r="177" spans="3:5" ht="12.75">
      <c r="C177" s="185"/>
      <c r="D177" s="186"/>
      <c r="E177" s="185"/>
    </row>
    <row r="178" spans="3:5" ht="12.75">
      <c r="C178" s="185"/>
      <c r="D178" s="186"/>
      <c r="E178" s="185"/>
    </row>
    <row r="179" spans="3:5" ht="12.75">
      <c r="C179" s="185"/>
      <c r="D179" s="186"/>
      <c r="E179" s="185"/>
    </row>
    <row r="180" spans="3:5" ht="12.75">
      <c r="C180" s="185"/>
      <c r="D180" s="186"/>
      <c r="E180" s="185"/>
    </row>
    <row r="181" spans="3:5" ht="12.75">
      <c r="C181" s="185"/>
      <c r="D181" s="186"/>
      <c r="E181" s="185"/>
    </row>
  </sheetData>
  <sheetProtection/>
  <mergeCells count="383">
    <mergeCell ref="K131:L131"/>
    <mergeCell ref="E132:F132"/>
    <mergeCell ref="H132:J132"/>
    <mergeCell ref="E133:F133"/>
    <mergeCell ref="H133:J133"/>
    <mergeCell ref="H135:J135"/>
    <mergeCell ref="K143:L143"/>
    <mergeCell ref="E145:L145"/>
    <mergeCell ref="T11:T12"/>
    <mergeCell ref="H139:J139"/>
    <mergeCell ref="H140:J140"/>
    <mergeCell ref="H141:J141"/>
    <mergeCell ref="B142:G142"/>
    <mergeCell ref="H142:J142"/>
    <mergeCell ref="K142:L142"/>
    <mergeCell ref="E135:F135"/>
    <mergeCell ref="E144:F144"/>
    <mergeCell ref="H144:J144"/>
    <mergeCell ref="E143:F143"/>
    <mergeCell ref="H143:J143"/>
    <mergeCell ref="E134:F134"/>
    <mergeCell ref="H134:J134"/>
    <mergeCell ref="H138:J138"/>
    <mergeCell ref="E136:F136"/>
    <mergeCell ref="H136:J136"/>
    <mergeCell ref="H137:J137"/>
    <mergeCell ref="E129:F129"/>
    <mergeCell ref="H129:J129"/>
    <mergeCell ref="E130:F130"/>
    <mergeCell ref="H130:J130"/>
    <mergeCell ref="E131:F131"/>
    <mergeCell ref="H131:J131"/>
    <mergeCell ref="E125:F125"/>
    <mergeCell ref="H125:J125"/>
    <mergeCell ref="K125:L125"/>
    <mergeCell ref="E126:F126"/>
    <mergeCell ref="H126:J126"/>
    <mergeCell ref="K126:L126"/>
    <mergeCell ref="K127:L127"/>
    <mergeCell ref="E128:F128"/>
    <mergeCell ref="H128:J128"/>
    <mergeCell ref="K128:L128"/>
    <mergeCell ref="E127:F127"/>
    <mergeCell ref="H127:J127"/>
    <mergeCell ref="C121:G121"/>
    <mergeCell ref="H121:J121"/>
    <mergeCell ref="K121:L121"/>
    <mergeCell ref="E122:F122"/>
    <mergeCell ref="H122:J122"/>
    <mergeCell ref="K122:L122"/>
    <mergeCell ref="E123:F123"/>
    <mergeCell ref="H123:J123"/>
    <mergeCell ref="K123:L123"/>
    <mergeCell ref="E124:F124"/>
    <mergeCell ref="H124:J124"/>
    <mergeCell ref="K124:L124"/>
    <mergeCell ref="E120:F120"/>
    <mergeCell ref="H120:J120"/>
    <mergeCell ref="E115:F115"/>
    <mergeCell ref="H115:J115"/>
    <mergeCell ref="E116:F116"/>
    <mergeCell ref="H116:J116"/>
    <mergeCell ref="E117:F117"/>
    <mergeCell ref="H117:J117"/>
    <mergeCell ref="E118:F118"/>
    <mergeCell ref="H118:J118"/>
    <mergeCell ref="E119:F119"/>
    <mergeCell ref="H119:J119"/>
    <mergeCell ref="E114:F114"/>
    <mergeCell ref="H114:J114"/>
    <mergeCell ref="E109:F109"/>
    <mergeCell ref="H109:J109"/>
    <mergeCell ref="E110:F110"/>
    <mergeCell ref="H110:J110"/>
    <mergeCell ref="E111:F111"/>
    <mergeCell ref="H111:J111"/>
    <mergeCell ref="E112:F112"/>
    <mergeCell ref="H112:J112"/>
    <mergeCell ref="E113:F113"/>
    <mergeCell ref="H113:J113"/>
    <mergeCell ref="C105:G105"/>
    <mergeCell ref="H105:J105"/>
    <mergeCell ref="E108:F108"/>
    <mergeCell ref="H108:J108"/>
    <mergeCell ref="K105:L105"/>
    <mergeCell ref="E106:F106"/>
    <mergeCell ref="H106:J106"/>
    <mergeCell ref="K106:L106"/>
    <mergeCell ref="C107:G107"/>
    <mergeCell ref="H107:J107"/>
    <mergeCell ref="K107:L107"/>
    <mergeCell ref="K108:L108"/>
    <mergeCell ref="C101:G101"/>
    <mergeCell ref="H101:J101"/>
    <mergeCell ref="K101:L101"/>
    <mergeCell ref="E102:F102"/>
    <mergeCell ref="H102:J102"/>
    <mergeCell ref="K102:L102"/>
    <mergeCell ref="C103:G103"/>
    <mergeCell ref="H103:J103"/>
    <mergeCell ref="K103:L103"/>
    <mergeCell ref="E104:F104"/>
    <mergeCell ref="H104:J104"/>
    <mergeCell ref="K104:L104"/>
    <mergeCell ref="E97:F97"/>
    <mergeCell ref="H97:J97"/>
    <mergeCell ref="K97:L97"/>
    <mergeCell ref="E98:F98"/>
    <mergeCell ref="H98:J98"/>
    <mergeCell ref="K98:L98"/>
    <mergeCell ref="E99:F99"/>
    <mergeCell ref="H99:J99"/>
    <mergeCell ref="K99:L99"/>
    <mergeCell ref="B100:G100"/>
    <mergeCell ref="H100:J100"/>
    <mergeCell ref="K100:L100"/>
    <mergeCell ref="C93:G93"/>
    <mergeCell ref="H93:J93"/>
    <mergeCell ref="K93:L93"/>
    <mergeCell ref="E94:F94"/>
    <mergeCell ref="H94:J94"/>
    <mergeCell ref="K94:L94"/>
    <mergeCell ref="E95:F95"/>
    <mergeCell ref="H95:J95"/>
    <mergeCell ref="K95:L95"/>
    <mergeCell ref="E96:F96"/>
    <mergeCell ref="H96:J96"/>
    <mergeCell ref="K96:L96"/>
    <mergeCell ref="C89:G89"/>
    <mergeCell ref="H89:J89"/>
    <mergeCell ref="K89:L89"/>
    <mergeCell ref="E90:F90"/>
    <mergeCell ref="H90:J90"/>
    <mergeCell ref="K90:L90"/>
    <mergeCell ref="B91:G91"/>
    <mergeCell ref="H91:J91"/>
    <mergeCell ref="K91:L91"/>
    <mergeCell ref="B92:G92"/>
    <mergeCell ref="H92:J92"/>
    <mergeCell ref="K92:L92"/>
    <mergeCell ref="B85:G85"/>
    <mergeCell ref="H85:J85"/>
    <mergeCell ref="K85:L85"/>
    <mergeCell ref="C86:G86"/>
    <mergeCell ref="H86:J86"/>
    <mergeCell ref="K86:L86"/>
    <mergeCell ref="E87:F87"/>
    <mergeCell ref="H87:J87"/>
    <mergeCell ref="K87:L87"/>
    <mergeCell ref="E88:F88"/>
    <mergeCell ref="H88:J88"/>
    <mergeCell ref="K88:L88"/>
    <mergeCell ref="E80:F80"/>
    <mergeCell ref="H80:J80"/>
    <mergeCell ref="K80:L80"/>
    <mergeCell ref="E81:F81"/>
    <mergeCell ref="H81:J81"/>
    <mergeCell ref="K81:L81"/>
    <mergeCell ref="K83:L83"/>
    <mergeCell ref="A84:G84"/>
    <mergeCell ref="H84:J84"/>
    <mergeCell ref="K84:L84"/>
    <mergeCell ref="E82:F82"/>
    <mergeCell ref="H82:J82"/>
    <mergeCell ref="E83:F83"/>
    <mergeCell ref="H83:J83"/>
    <mergeCell ref="E76:F76"/>
    <mergeCell ref="H76:J76"/>
    <mergeCell ref="K76:L76"/>
    <mergeCell ref="E77:F77"/>
    <mergeCell ref="H77:J77"/>
    <mergeCell ref="K77:L77"/>
    <mergeCell ref="E78:F78"/>
    <mergeCell ref="H78:J78"/>
    <mergeCell ref="K78:L78"/>
    <mergeCell ref="E79:F79"/>
    <mergeCell ref="H79:J79"/>
    <mergeCell ref="K79:L79"/>
    <mergeCell ref="E72:F72"/>
    <mergeCell ref="H72:J72"/>
    <mergeCell ref="K72:L72"/>
    <mergeCell ref="E73:F73"/>
    <mergeCell ref="H73:J73"/>
    <mergeCell ref="K73:L73"/>
    <mergeCell ref="E74:F74"/>
    <mergeCell ref="H74:J74"/>
    <mergeCell ref="K74:L74"/>
    <mergeCell ref="E75:F75"/>
    <mergeCell ref="H75:J75"/>
    <mergeCell ref="K75:L75"/>
    <mergeCell ref="E68:F68"/>
    <mergeCell ref="H68:J68"/>
    <mergeCell ref="K68:L68"/>
    <mergeCell ref="E69:F69"/>
    <mergeCell ref="H69:J69"/>
    <mergeCell ref="K69:L69"/>
    <mergeCell ref="E70:F70"/>
    <mergeCell ref="H70:J70"/>
    <mergeCell ref="K70:L70"/>
    <mergeCell ref="E71:F71"/>
    <mergeCell ref="H71:J71"/>
    <mergeCell ref="K71:L71"/>
    <mergeCell ref="E64:F64"/>
    <mergeCell ref="H64:J64"/>
    <mergeCell ref="K64:L64"/>
    <mergeCell ref="E65:F65"/>
    <mergeCell ref="H65:J65"/>
    <mergeCell ref="K65:L65"/>
    <mergeCell ref="E66:F66"/>
    <mergeCell ref="H66:J66"/>
    <mergeCell ref="K66:L66"/>
    <mergeCell ref="E67:F67"/>
    <mergeCell ref="H67:J67"/>
    <mergeCell ref="K67:L67"/>
    <mergeCell ref="E60:F60"/>
    <mergeCell ref="H60:J60"/>
    <mergeCell ref="K60:L60"/>
    <mergeCell ref="B61:G61"/>
    <mergeCell ref="H61:J61"/>
    <mergeCell ref="K61:L61"/>
    <mergeCell ref="E62:F62"/>
    <mergeCell ref="H62:J62"/>
    <mergeCell ref="K62:L62"/>
    <mergeCell ref="B63:G63"/>
    <mergeCell ref="H63:J63"/>
    <mergeCell ref="K63:L63"/>
    <mergeCell ref="E56:F56"/>
    <mergeCell ref="H56:J56"/>
    <mergeCell ref="K56:L56"/>
    <mergeCell ref="E57:F57"/>
    <mergeCell ref="H57:J57"/>
    <mergeCell ref="K57:L57"/>
    <mergeCell ref="E58:F58"/>
    <mergeCell ref="H58:J58"/>
    <mergeCell ref="K58:L58"/>
    <mergeCell ref="E59:F59"/>
    <mergeCell ref="H59:J59"/>
    <mergeCell ref="K59:L59"/>
    <mergeCell ref="E52:F52"/>
    <mergeCell ref="H52:J52"/>
    <mergeCell ref="K52:L52"/>
    <mergeCell ref="B53:G53"/>
    <mergeCell ref="H53:J53"/>
    <mergeCell ref="K53:L53"/>
    <mergeCell ref="E54:F54"/>
    <mergeCell ref="H54:J54"/>
    <mergeCell ref="K54:L54"/>
    <mergeCell ref="E55:F55"/>
    <mergeCell ref="H55:J55"/>
    <mergeCell ref="K55:L55"/>
    <mergeCell ref="E48:F48"/>
    <mergeCell ref="H48:J48"/>
    <mergeCell ref="K48:L48"/>
    <mergeCell ref="E49:F49"/>
    <mergeCell ref="H49:J49"/>
    <mergeCell ref="K49:L49"/>
    <mergeCell ref="B50:G50"/>
    <mergeCell ref="H50:J50"/>
    <mergeCell ref="K50:L50"/>
    <mergeCell ref="E51:F51"/>
    <mergeCell ref="H51:J51"/>
    <mergeCell ref="K51:L51"/>
    <mergeCell ref="B44:G44"/>
    <mergeCell ref="H44:J44"/>
    <mergeCell ref="K44:L44"/>
    <mergeCell ref="E45:F45"/>
    <mergeCell ref="H45:J45"/>
    <mergeCell ref="K45:L45"/>
    <mergeCell ref="A46:G46"/>
    <mergeCell ref="H46:J46"/>
    <mergeCell ref="K46:L46"/>
    <mergeCell ref="B47:G47"/>
    <mergeCell ref="H47:J47"/>
    <mergeCell ref="K47:L47"/>
    <mergeCell ref="B40:G40"/>
    <mergeCell ref="H40:J40"/>
    <mergeCell ref="K40:L40"/>
    <mergeCell ref="A41:G41"/>
    <mergeCell ref="H41:J41"/>
    <mergeCell ref="K41:L41"/>
    <mergeCell ref="E42:G42"/>
    <mergeCell ref="H42:J42"/>
    <mergeCell ref="K42:L42"/>
    <mergeCell ref="E43:G43"/>
    <mergeCell ref="H43:J43"/>
    <mergeCell ref="K43:L43"/>
    <mergeCell ref="A39:G39"/>
    <mergeCell ref="H39:J39"/>
    <mergeCell ref="K39:L39"/>
    <mergeCell ref="E36:F36"/>
    <mergeCell ref="H36:J36"/>
    <mergeCell ref="K36:L36"/>
    <mergeCell ref="A37:G37"/>
    <mergeCell ref="H37:J37"/>
    <mergeCell ref="K37:L37"/>
    <mergeCell ref="E38:F38"/>
    <mergeCell ref="H38:J38"/>
    <mergeCell ref="K38:L38"/>
    <mergeCell ref="C35:G35"/>
    <mergeCell ref="H35:J35"/>
    <mergeCell ref="K35:L35"/>
    <mergeCell ref="K31:L31"/>
    <mergeCell ref="E32:F32"/>
    <mergeCell ref="H32:J32"/>
    <mergeCell ref="K32:L32"/>
    <mergeCell ref="C34:G34"/>
    <mergeCell ref="H34:J34"/>
    <mergeCell ref="K34:L34"/>
    <mergeCell ref="B33:G33"/>
    <mergeCell ref="H33:J33"/>
    <mergeCell ref="K33:L33"/>
    <mergeCell ref="K27:L27"/>
    <mergeCell ref="E28:F28"/>
    <mergeCell ref="H28:J28"/>
    <mergeCell ref="K28:L28"/>
    <mergeCell ref="A31:G31"/>
    <mergeCell ref="H31:J31"/>
    <mergeCell ref="B27:G27"/>
    <mergeCell ref="H27:J27"/>
    <mergeCell ref="E29:F29"/>
    <mergeCell ref="H29:J29"/>
    <mergeCell ref="E30:F30"/>
    <mergeCell ref="H30:J30"/>
    <mergeCell ref="E23:F23"/>
    <mergeCell ref="H23:J23"/>
    <mergeCell ref="K23:L23"/>
    <mergeCell ref="E24:F24"/>
    <mergeCell ref="H24:J24"/>
    <mergeCell ref="K24:L24"/>
    <mergeCell ref="E25:F25"/>
    <mergeCell ref="H25:J25"/>
    <mergeCell ref="K25:L25"/>
    <mergeCell ref="A26:G26"/>
    <mergeCell ref="H26:J26"/>
    <mergeCell ref="K26:L26"/>
    <mergeCell ref="A19:G19"/>
    <mergeCell ref="H19:J19"/>
    <mergeCell ref="K19:L19"/>
    <mergeCell ref="B20:G20"/>
    <mergeCell ref="H20:J20"/>
    <mergeCell ref="K20:L20"/>
    <mergeCell ref="E21:F21"/>
    <mergeCell ref="H21:J21"/>
    <mergeCell ref="K21:L21"/>
    <mergeCell ref="E22:F22"/>
    <mergeCell ref="H22:J22"/>
    <mergeCell ref="K22:L22"/>
    <mergeCell ref="E15:F15"/>
    <mergeCell ref="H15:J15"/>
    <mergeCell ref="K15:L15"/>
    <mergeCell ref="E16:F16"/>
    <mergeCell ref="H16:J16"/>
    <mergeCell ref="K16:L16"/>
    <mergeCell ref="E17:F17"/>
    <mergeCell ref="H17:J17"/>
    <mergeCell ref="K17:L17"/>
    <mergeCell ref="E18:F18"/>
    <mergeCell ref="H18:J18"/>
    <mergeCell ref="K18:L18"/>
    <mergeCell ref="O11:O12"/>
    <mergeCell ref="W11:W12"/>
    <mergeCell ref="Y11:Y12"/>
    <mergeCell ref="Z11:Z12"/>
    <mergeCell ref="A11:F12"/>
    <mergeCell ref="G11:G12"/>
    <mergeCell ref="H11:L11"/>
    <mergeCell ref="M11:M12"/>
    <mergeCell ref="AA11:AA12"/>
    <mergeCell ref="H12:J12"/>
    <mergeCell ref="K12:L12"/>
    <mergeCell ref="P11:P12"/>
    <mergeCell ref="Q11:Q12"/>
    <mergeCell ref="R11:R12"/>
    <mergeCell ref="S11:S12"/>
    <mergeCell ref="U11:U12"/>
    <mergeCell ref="V11:V12"/>
    <mergeCell ref="N11:N12"/>
    <mergeCell ref="A13:G13"/>
    <mergeCell ref="H13:J13"/>
    <mergeCell ref="K13:L13"/>
    <mergeCell ref="B14:G14"/>
    <mergeCell ref="H14:J14"/>
    <mergeCell ref="K14:L14"/>
  </mergeCells>
  <printOptions/>
  <pageMargins left="0.15748031496062992" right="0.1968503937007874" top="0.2755905511811024" bottom="0.1968503937007874" header="0.31496062992125984" footer="0.15748031496062992"/>
  <pageSetup fitToHeight="3" fitToWidth="1" horizontalDpi="600" verticalDpi="600" orientation="portrait" paperSize="9" scale="60" r:id="rId1"/>
  <rowBreaks count="1" manualBreakCount="1">
    <brk id="61" min="4" max="2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7:K199"/>
  <sheetViews>
    <sheetView view="pageBreakPreview" zoomScale="76" zoomScaleNormal="76" zoomScaleSheetLayoutView="76" zoomScalePageLayoutView="0" workbookViewId="0" topLeftCell="A1">
      <selection activeCell="C22" sqref="C22"/>
    </sheetView>
  </sheetViews>
  <sheetFormatPr defaultColWidth="9.140625" defaultRowHeight="12.75"/>
  <cols>
    <col min="1" max="2" width="8.57421875" style="314" customWidth="1"/>
    <col min="3" max="3" width="20.421875" style="192" customWidth="1"/>
    <col min="4" max="5" width="12.8515625" style="192" customWidth="1"/>
    <col min="6" max="6" width="59.28125" style="192" customWidth="1"/>
    <col min="7" max="7" width="21.00390625" style="295" hidden="1" customWidth="1"/>
    <col min="8" max="8" width="9.421875" style="295" hidden="1" customWidth="1"/>
    <col min="9" max="10" width="9.28125" style="295" hidden="1" customWidth="1"/>
    <col min="11" max="16384" width="9.140625" style="295" customWidth="1"/>
  </cols>
  <sheetData>
    <row r="7" spans="1:11" ht="12.75">
      <c r="A7" s="932"/>
      <c r="B7" s="932"/>
      <c r="C7" s="932"/>
      <c r="D7" s="932"/>
      <c r="E7" s="932"/>
      <c r="F7" s="932"/>
      <c r="G7" s="932"/>
      <c r="H7" s="932"/>
      <c r="I7" s="932"/>
      <c r="J7" s="932"/>
      <c r="K7" s="932"/>
    </row>
    <row r="8" spans="1:11" ht="12.75">
      <c r="A8" s="315"/>
      <c r="B8" s="315"/>
      <c r="C8" s="313"/>
      <c r="D8" s="313"/>
      <c r="E8" s="313"/>
      <c r="F8" s="313"/>
      <c r="G8" s="313"/>
      <c r="H8" s="313"/>
      <c r="I8" s="313"/>
      <c r="J8" s="313"/>
      <c r="K8" s="313"/>
    </row>
    <row r="9" spans="1:11" ht="12.75" customHeight="1">
      <c r="A9" s="326"/>
      <c r="B9" s="326"/>
      <c r="C9" s="933" t="s">
        <v>585</v>
      </c>
      <c r="D9" s="326"/>
      <c r="E9" s="326"/>
      <c r="F9" s="935" t="s">
        <v>522</v>
      </c>
      <c r="G9" s="937" t="s">
        <v>523</v>
      </c>
      <c r="H9" s="938"/>
      <c r="I9" s="938"/>
      <c r="J9" s="939"/>
      <c r="K9" s="305"/>
    </row>
    <row r="10" spans="1:11" ht="25.5">
      <c r="A10" s="327" t="s">
        <v>631</v>
      </c>
      <c r="B10" s="327" t="s">
        <v>632</v>
      </c>
      <c r="C10" s="934"/>
      <c r="D10" s="327" t="s">
        <v>633</v>
      </c>
      <c r="E10" s="327" t="s">
        <v>232</v>
      </c>
      <c r="F10" s="936"/>
      <c r="G10" s="296" t="s">
        <v>524</v>
      </c>
      <c r="H10" s="306" t="s">
        <v>525</v>
      </c>
      <c r="I10" s="307" t="s">
        <v>526</v>
      </c>
      <c r="J10" s="307" t="s">
        <v>527</v>
      </c>
      <c r="K10" s="305"/>
    </row>
    <row r="11" spans="1:11" ht="33.75" customHeight="1">
      <c r="A11" s="329"/>
      <c r="B11" s="329"/>
      <c r="C11" s="928" t="s">
        <v>586</v>
      </c>
      <c r="D11" s="323"/>
      <c r="E11" s="323"/>
      <c r="F11" s="930" t="s">
        <v>529</v>
      </c>
      <c r="G11" s="297" t="s">
        <v>530</v>
      </c>
      <c r="H11" s="302">
        <v>54674.46</v>
      </c>
      <c r="I11" s="302">
        <v>54477.07</v>
      </c>
      <c r="J11" s="302">
        <v>52791.25</v>
      </c>
      <c r="K11" s="308"/>
    </row>
    <row r="12" spans="1:11" ht="29.25" customHeight="1">
      <c r="A12" s="330"/>
      <c r="B12" s="330"/>
      <c r="C12" s="929"/>
      <c r="D12" s="334"/>
      <c r="E12" s="334"/>
      <c r="F12" s="931"/>
      <c r="G12" s="297" t="s">
        <v>531</v>
      </c>
      <c r="H12" s="302">
        <v>690.9</v>
      </c>
      <c r="I12" s="302">
        <v>690.9</v>
      </c>
      <c r="J12" s="302">
        <v>690.9</v>
      </c>
      <c r="K12" s="308"/>
    </row>
    <row r="13" spans="1:11" ht="29.25" customHeight="1">
      <c r="A13" s="951" t="s">
        <v>532</v>
      </c>
      <c r="B13" s="952"/>
      <c r="C13" s="952"/>
      <c r="D13" s="952"/>
      <c r="E13" s="952"/>
      <c r="F13" s="953"/>
      <c r="G13" s="297"/>
      <c r="H13" s="302"/>
      <c r="I13" s="302"/>
      <c r="J13" s="302"/>
      <c r="K13" s="308"/>
    </row>
    <row r="14" spans="1:11" ht="18.75" customHeight="1">
      <c r="A14" s="316" t="s">
        <v>488</v>
      </c>
      <c r="B14" s="316" t="s">
        <v>634</v>
      </c>
      <c r="C14" s="325" t="s">
        <v>587</v>
      </c>
      <c r="D14" s="325" t="s">
        <v>635</v>
      </c>
      <c r="E14" s="325" t="s">
        <v>636</v>
      </c>
      <c r="F14" s="940" t="s">
        <v>662</v>
      </c>
      <c r="G14" s="298" t="s">
        <v>530</v>
      </c>
      <c r="H14" s="309">
        <v>31182.57</v>
      </c>
      <c r="I14" s="310">
        <v>31182.57</v>
      </c>
      <c r="J14" s="310">
        <v>31182.57</v>
      </c>
      <c r="K14" s="313"/>
    </row>
    <row r="15" spans="1:11" ht="18.75" customHeight="1">
      <c r="A15" s="316" t="s">
        <v>488</v>
      </c>
      <c r="B15" s="316" t="s">
        <v>634</v>
      </c>
      <c r="C15" s="325" t="s">
        <v>587</v>
      </c>
      <c r="D15" s="325" t="s">
        <v>635</v>
      </c>
      <c r="E15" s="325" t="s">
        <v>637</v>
      </c>
      <c r="F15" s="940"/>
      <c r="G15" s="298"/>
      <c r="H15" s="309"/>
      <c r="I15" s="310"/>
      <c r="J15" s="310"/>
      <c r="K15" s="313"/>
    </row>
    <row r="16" spans="1:11" ht="18.75" customHeight="1">
      <c r="A16" s="316" t="s">
        <v>488</v>
      </c>
      <c r="B16" s="316" t="s">
        <v>638</v>
      </c>
      <c r="C16" s="325" t="s">
        <v>652</v>
      </c>
      <c r="D16" s="325" t="s">
        <v>635</v>
      </c>
      <c r="E16" s="325" t="s">
        <v>636</v>
      </c>
      <c r="F16" s="940" t="s">
        <v>663</v>
      </c>
      <c r="G16" s="298"/>
      <c r="H16" s="309"/>
      <c r="I16" s="310"/>
      <c r="J16" s="310"/>
      <c r="K16" s="313"/>
    </row>
    <row r="17" spans="1:11" ht="18.75" customHeight="1">
      <c r="A17" s="316" t="s">
        <v>488</v>
      </c>
      <c r="B17" s="316" t="s">
        <v>638</v>
      </c>
      <c r="C17" s="325" t="s">
        <v>652</v>
      </c>
      <c r="D17" s="325" t="s">
        <v>635</v>
      </c>
      <c r="E17" s="325" t="s">
        <v>637</v>
      </c>
      <c r="F17" s="940"/>
      <c r="G17" s="298"/>
      <c r="H17" s="309"/>
      <c r="I17" s="310"/>
      <c r="J17" s="310"/>
      <c r="K17" s="313"/>
    </row>
    <row r="18" spans="1:11" ht="18.75" customHeight="1">
      <c r="A18" s="316" t="s">
        <v>488</v>
      </c>
      <c r="B18" s="316" t="s">
        <v>638</v>
      </c>
      <c r="C18" s="325" t="s">
        <v>653</v>
      </c>
      <c r="D18" s="325" t="s">
        <v>639</v>
      </c>
      <c r="E18" s="325" t="s">
        <v>640</v>
      </c>
      <c r="F18" s="940" t="s">
        <v>664</v>
      </c>
      <c r="G18" s="298"/>
      <c r="H18" s="309"/>
      <c r="I18" s="310"/>
      <c r="J18" s="310"/>
      <c r="K18" s="313"/>
    </row>
    <row r="19" spans="1:11" ht="18.75" customHeight="1">
      <c r="A19" s="316" t="s">
        <v>488</v>
      </c>
      <c r="B19" s="316" t="s">
        <v>638</v>
      </c>
      <c r="C19" s="325" t="s">
        <v>653</v>
      </c>
      <c r="D19" s="325" t="s">
        <v>639</v>
      </c>
      <c r="E19" s="325" t="s">
        <v>641</v>
      </c>
      <c r="F19" s="940"/>
      <c r="G19" s="298"/>
      <c r="H19" s="309"/>
      <c r="I19" s="310"/>
      <c r="J19" s="310"/>
      <c r="K19" s="313"/>
    </row>
    <row r="20" spans="1:11" ht="18.75" customHeight="1">
      <c r="A20" s="316" t="s">
        <v>488</v>
      </c>
      <c r="B20" s="316" t="s">
        <v>638</v>
      </c>
      <c r="C20" s="325" t="s">
        <v>653</v>
      </c>
      <c r="D20" s="325" t="s">
        <v>639</v>
      </c>
      <c r="E20" s="325" t="s">
        <v>642</v>
      </c>
      <c r="F20" s="940"/>
      <c r="G20" s="298"/>
      <c r="H20" s="309"/>
      <c r="I20" s="310"/>
      <c r="J20" s="310"/>
      <c r="K20" s="313"/>
    </row>
    <row r="21" spans="1:11" ht="18.75" customHeight="1">
      <c r="A21" s="316" t="s">
        <v>488</v>
      </c>
      <c r="B21" s="316" t="s">
        <v>638</v>
      </c>
      <c r="C21" s="325" t="s">
        <v>653</v>
      </c>
      <c r="D21" s="325" t="s">
        <v>639</v>
      </c>
      <c r="E21" s="325" t="s">
        <v>643</v>
      </c>
      <c r="F21" s="940"/>
      <c r="G21" s="298"/>
      <c r="H21" s="309"/>
      <c r="I21" s="310"/>
      <c r="J21" s="310"/>
      <c r="K21" s="313"/>
    </row>
    <row r="22" spans="1:11" ht="33.75" customHeight="1">
      <c r="A22" s="316" t="s">
        <v>488</v>
      </c>
      <c r="B22" s="316" t="s">
        <v>638</v>
      </c>
      <c r="C22" s="325" t="s">
        <v>653</v>
      </c>
      <c r="D22" s="325" t="s">
        <v>639</v>
      </c>
      <c r="E22" s="325" t="s">
        <v>644</v>
      </c>
      <c r="F22" s="940"/>
      <c r="G22" s="298" t="s">
        <v>531</v>
      </c>
      <c r="H22" s="309">
        <v>690.9</v>
      </c>
      <c r="I22" s="310">
        <v>690.9</v>
      </c>
      <c r="J22" s="310">
        <v>690.9</v>
      </c>
      <c r="K22" s="313"/>
    </row>
    <row r="23" spans="1:11" ht="33.75" customHeight="1">
      <c r="A23" s="316" t="s">
        <v>488</v>
      </c>
      <c r="B23" s="316" t="s">
        <v>638</v>
      </c>
      <c r="C23" s="325" t="s">
        <v>653</v>
      </c>
      <c r="D23" s="325" t="s">
        <v>639</v>
      </c>
      <c r="E23" s="325" t="s">
        <v>645</v>
      </c>
      <c r="F23" s="940"/>
      <c r="G23" s="298"/>
      <c r="H23" s="309"/>
      <c r="I23" s="310"/>
      <c r="J23" s="310"/>
      <c r="K23" s="313"/>
    </row>
    <row r="24" spans="1:11" ht="33.75" customHeight="1">
      <c r="A24" s="316" t="s">
        <v>488</v>
      </c>
      <c r="B24" s="316" t="s">
        <v>638</v>
      </c>
      <c r="C24" s="325" t="s">
        <v>653</v>
      </c>
      <c r="D24" s="325" t="s">
        <v>639</v>
      </c>
      <c r="E24" s="325" t="s">
        <v>646</v>
      </c>
      <c r="F24" s="940"/>
      <c r="G24" s="298"/>
      <c r="H24" s="309"/>
      <c r="I24" s="310"/>
      <c r="J24" s="310"/>
      <c r="K24" s="313"/>
    </row>
    <row r="25" spans="1:11" ht="33.75" customHeight="1">
      <c r="A25" s="316" t="s">
        <v>488</v>
      </c>
      <c r="B25" s="316" t="s">
        <v>638</v>
      </c>
      <c r="C25" s="325" t="s">
        <v>653</v>
      </c>
      <c r="D25" s="325" t="s">
        <v>639</v>
      </c>
      <c r="E25" s="325" t="s">
        <v>647</v>
      </c>
      <c r="F25" s="940"/>
      <c r="G25" s="298"/>
      <c r="H25" s="309"/>
      <c r="I25" s="310"/>
      <c r="J25" s="310"/>
      <c r="K25" s="313"/>
    </row>
    <row r="26" spans="1:11" ht="33.75" customHeight="1">
      <c r="A26" s="316" t="s">
        <v>488</v>
      </c>
      <c r="B26" s="316" t="s">
        <v>638</v>
      </c>
      <c r="C26" s="325" t="s">
        <v>653</v>
      </c>
      <c r="D26" s="325" t="s">
        <v>639</v>
      </c>
      <c r="E26" s="325" t="s">
        <v>648</v>
      </c>
      <c r="F26" s="940"/>
      <c r="G26" s="298"/>
      <c r="H26" s="309"/>
      <c r="I26" s="310"/>
      <c r="J26" s="310"/>
      <c r="K26" s="313"/>
    </row>
    <row r="27" spans="1:11" ht="33.75" customHeight="1">
      <c r="A27" s="316" t="s">
        <v>514</v>
      </c>
      <c r="B27" s="316" t="s">
        <v>651</v>
      </c>
      <c r="C27" s="325" t="s">
        <v>654</v>
      </c>
      <c r="D27" s="325" t="s">
        <v>635</v>
      </c>
      <c r="E27" s="325" t="s">
        <v>636</v>
      </c>
      <c r="F27" s="940" t="s">
        <v>665</v>
      </c>
      <c r="G27" s="298"/>
      <c r="H27" s="309"/>
      <c r="I27" s="310"/>
      <c r="J27" s="310"/>
      <c r="K27" s="313"/>
    </row>
    <row r="28" spans="1:11" ht="33.75" customHeight="1">
      <c r="A28" s="316" t="s">
        <v>514</v>
      </c>
      <c r="B28" s="316" t="s">
        <v>651</v>
      </c>
      <c r="C28" s="325" t="s">
        <v>654</v>
      </c>
      <c r="D28" s="325" t="s">
        <v>635</v>
      </c>
      <c r="E28" s="325" t="s">
        <v>637</v>
      </c>
      <c r="F28" s="940"/>
      <c r="G28" s="298"/>
      <c r="H28" s="309"/>
      <c r="I28" s="310"/>
      <c r="J28" s="310"/>
      <c r="K28" s="313"/>
    </row>
    <row r="29" spans="1:11" ht="33.75" customHeight="1">
      <c r="A29" s="316" t="s">
        <v>514</v>
      </c>
      <c r="B29" s="316" t="s">
        <v>651</v>
      </c>
      <c r="C29" s="325" t="s">
        <v>655</v>
      </c>
      <c r="D29" s="325" t="s">
        <v>639</v>
      </c>
      <c r="E29" s="325" t="s">
        <v>640</v>
      </c>
      <c r="F29" s="940" t="s">
        <v>666</v>
      </c>
      <c r="G29" s="298"/>
      <c r="H29" s="309"/>
      <c r="I29" s="310"/>
      <c r="J29" s="310"/>
      <c r="K29" s="313"/>
    </row>
    <row r="30" spans="1:11" ht="33.75" customHeight="1">
      <c r="A30" s="316" t="s">
        <v>514</v>
      </c>
      <c r="B30" s="316" t="s">
        <v>651</v>
      </c>
      <c r="C30" s="325" t="s">
        <v>655</v>
      </c>
      <c r="D30" s="325" t="s">
        <v>639</v>
      </c>
      <c r="E30" s="325" t="s">
        <v>644</v>
      </c>
      <c r="F30" s="940"/>
      <c r="G30" s="298"/>
      <c r="H30" s="309"/>
      <c r="I30" s="310"/>
      <c r="J30" s="310"/>
      <c r="K30" s="313"/>
    </row>
    <row r="31" spans="1:11" ht="33.75" customHeight="1">
      <c r="A31" s="316" t="s">
        <v>514</v>
      </c>
      <c r="B31" s="316" t="s">
        <v>651</v>
      </c>
      <c r="C31" s="325" t="s">
        <v>655</v>
      </c>
      <c r="D31" s="325" t="s">
        <v>639</v>
      </c>
      <c r="E31" s="325" t="s">
        <v>645</v>
      </c>
      <c r="F31" s="940"/>
      <c r="G31" s="298"/>
      <c r="H31" s="309"/>
      <c r="I31" s="310"/>
      <c r="J31" s="310"/>
      <c r="K31" s="313"/>
    </row>
    <row r="32" spans="1:11" ht="33.75" customHeight="1">
      <c r="A32" s="316" t="s">
        <v>514</v>
      </c>
      <c r="B32" s="316" t="s">
        <v>651</v>
      </c>
      <c r="C32" s="325" t="s">
        <v>655</v>
      </c>
      <c r="D32" s="325" t="s">
        <v>639</v>
      </c>
      <c r="E32" s="325" t="s">
        <v>646</v>
      </c>
      <c r="F32" s="940"/>
      <c r="G32" s="298"/>
      <c r="H32" s="309"/>
      <c r="I32" s="310"/>
      <c r="J32" s="310"/>
      <c r="K32" s="313"/>
    </row>
    <row r="33" spans="1:11" ht="33.75" customHeight="1">
      <c r="A33" s="316" t="s">
        <v>514</v>
      </c>
      <c r="B33" s="316" t="s">
        <v>651</v>
      </c>
      <c r="C33" s="325" t="s">
        <v>655</v>
      </c>
      <c r="D33" s="325" t="s">
        <v>639</v>
      </c>
      <c r="E33" s="325" t="s">
        <v>647</v>
      </c>
      <c r="F33" s="940"/>
      <c r="G33" s="298"/>
      <c r="H33" s="309"/>
      <c r="I33" s="310"/>
      <c r="J33" s="310"/>
      <c r="K33" s="313"/>
    </row>
    <row r="34" spans="1:11" ht="33.75" customHeight="1">
      <c r="A34" s="316" t="s">
        <v>514</v>
      </c>
      <c r="B34" s="316" t="s">
        <v>651</v>
      </c>
      <c r="C34" s="325" t="s">
        <v>655</v>
      </c>
      <c r="D34" s="325" t="s">
        <v>639</v>
      </c>
      <c r="E34" s="325" t="s">
        <v>648</v>
      </c>
      <c r="F34" s="940"/>
      <c r="G34" s="298"/>
      <c r="H34" s="309"/>
      <c r="I34" s="310"/>
      <c r="J34" s="310"/>
      <c r="K34" s="313"/>
    </row>
    <row r="35" spans="1:11" ht="33.75" customHeight="1">
      <c r="A35" s="316" t="s">
        <v>514</v>
      </c>
      <c r="B35" s="316" t="s">
        <v>651</v>
      </c>
      <c r="C35" s="325" t="s">
        <v>656</v>
      </c>
      <c r="D35" s="325" t="s">
        <v>635</v>
      </c>
      <c r="E35" s="325" t="s">
        <v>636</v>
      </c>
      <c r="F35" s="940" t="s">
        <v>667</v>
      </c>
      <c r="G35" s="298"/>
      <c r="H35" s="309"/>
      <c r="I35" s="310"/>
      <c r="J35" s="310"/>
      <c r="K35" s="313"/>
    </row>
    <row r="36" spans="1:11" ht="33.75" customHeight="1">
      <c r="A36" s="316" t="s">
        <v>514</v>
      </c>
      <c r="B36" s="316" t="s">
        <v>651</v>
      </c>
      <c r="C36" s="325" t="s">
        <v>656</v>
      </c>
      <c r="D36" s="325" t="s">
        <v>635</v>
      </c>
      <c r="E36" s="325" t="s">
        <v>637</v>
      </c>
      <c r="F36" s="940"/>
      <c r="G36" s="298"/>
      <c r="H36" s="309"/>
      <c r="I36" s="310"/>
      <c r="J36" s="310"/>
      <c r="K36" s="313"/>
    </row>
    <row r="37" spans="1:11" ht="33.75" customHeight="1">
      <c r="A37" s="316" t="s">
        <v>514</v>
      </c>
      <c r="B37" s="316" t="s">
        <v>657</v>
      </c>
      <c r="C37" s="325" t="s">
        <v>658</v>
      </c>
      <c r="D37" s="325" t="s">
        <v>635</v>
      </c>
      <c r="E37" s="325" t="s">
        <v>636</v>
      </c>
      <c r="F37" s="941" t="s">
        <v>668</v>
      </c>
      <c r="G37" s="298"/>
      <c r="H37" s="309"/>
      <c r="I37" s="310"/>
      <c r="J37" s="310"/>
      <c r="K37" s="313"/>
    </row>
    <row r="38" spans="1:11" ht="33.75" customHeight="1">
      <c r="A38" s="316" t="s">
        <v>514</v>
      </c>
      <c r="B38" s="316" t="s">
        <v>657</v>
      </c>
      <c r="C38" s="325" t="s">
        <v>658</v>
      </c>
      <c r="D38" s="325" t="s">
        <v>635</v>
      </c>
      <c r="E38" s="325" t="s">
        <v>637</v>
      </c>
      <c r="F38" s="942"/>
      <c r="G38" s="298"/>
      <c r="H38" s="309"/>
      <c r="I38" s="310"/>
      <c r="J38" s="310"/>
      <c r="K38" s="313"/>
    </row>
    <row r="39" spans="1:11" ht="33.75" customHeight="1">
      <c r="A39" s="316" t="s">
        <v>514</v>
      </c>
      <c r="B39" s="316" t="s">
        <v>657</v>
      </c>
      <c r="C39" s="325" t="s">
        <v>658</v>
      </c>
      <c r="D39" s="325" t="s">
        <v>661</v>
      </c>
      <c r="E39" s="325" t="s">
        <v>660</v>
      </c>
      <c r="F39" s="942"/>
      <c r="G39" s="298"/>
      <c r="H39" s="309"/>
      <c r="I39" s="310"/>
      <c r="J39" s="310"/>
      <c r="K39" s="313"/>
    </row>
    <row r="40" spans="1:11" ht="33.75" customHeight="1">
      <c r="A40" s="316" t="s">
        <v>514</v>
      </c>
      <c r="B40" s="316" t="s">
        <v>657</v>
      </c>
      <c r="C40" s="325" t="s">
        <v>659</v>
      </c>
      <c r="D40" s="325" t="s">
        <v>639</v>
      </c>
      <c r="E40" s="325" t="s">
        <v>641</v>
      </c>
      <c r="F40" s="940" t="s">
        <v>669</v>
      </c>
      <c r="G40" s="298"/>
      <c r="H40" s="309"/>
      <c r="I40" s="310"/>
      <c r="J40" s="310"/>
      <c r="K40" s="313"/>
    </row>
    <row r="41" spans="1:11" ht="33.75" customHeight="1">
      <c r="A41" s="316" t="s">
        <v>514</v>
      </c>
      <c r="B41" s="316" t="s">
        <v>657</v>
      </c>
      <c r="C41" s="325" t="s">
        <v>659</v>
      </c>
      <c r="D41" s="325" t="s">
        <v>639</v>
      </c>
      <c r="E41" s="325" t="s">
        <v>644</v>
      </c>
      <c r="F41" s="940"/>
      <c r="G41" s="298"/>
      <c r="H41" s="309"/>
      <c r="I41" s="310"/>
      <c r="J41" s="310"/>
      <c r="K41" s="313"/>
    </row>
    <row r="42" spans="1:11" ht="33.75" customHeight="1">
      <c r="A42" s="316" t="s">
        <v>514</v>
      </c>
      <c r="B42" s="316" t="s">
        <v>657</v>
      </c>
      <c r="C42" s="325" t="s">
        <v>659</v>
      </c>
      <c r="D42" s="325" t="s">
        <v>639</v>
      </c>
      <c r="E42" s="325" t="s">
        <v>645</v>
      </c>
      <c r="F42" s="940"/>
      <c r="G42" s="298"/>
      <c r="H42" s="309"/>
      <c r="I42" s="310"/>
      <c r="J42" s="310"/>
      <c r="K42" s="313"/>
    </row>
    <row r="43" spans="1:11" ht="33.75" customHeight="1">
      <c r="A43" s="316" t="s">
        <v>514</v>
      </c>
      <c r="B43" s="316" t="s">
        <v>657</v>
      </c>
      <c r="C43" s="325" t="s">
        <v>659</v>
      </c>
      <c r="D43" s="325" t="s">
        <v>639</v>
      </c>
      <c r="E43" s="325" t="s">
        <v>646</v>
      </c>
      <c r="F43" s="940"/>
      <c r="G43" s="298"/>
      <c r="H43" s="309"/>
      <c r="I43" s="310"/>
      <c r="J43" s="310"/>
      <c r="K43" s="313"/>
    </row>
    <row r="44" spans="1:11" ht="33.75" customHeight="1">
      <c r="A44" s="316" t="s">
        <v>514</v>
      </c>
      <c r="B44" s="316" t="s">
        <v>657</v>
      </c>
      <c r="C44" s="325" t="s">
        <v>659</v>
      </c>
      <c r="D44" s="325" t="s">
        <v>639</v>
      </c>
      <c r="E44" s="325" t="s">
        <v>647</v>
      </c>
      <c r="F44" s="940"/>
      <c r="G44" s="298"/>
      <c r="H44" s="309"/>
      <c r="I44" s="310"/>
      <c r="J44" s="310"/>
      <c r="K44" s="313"/>
    </row>
    <row r="45" spans="1:11" ht="39" customHeight="1">
      <c r="A45" s="316" t="s">
        <v>514</v>
      </c>
      <c r="B45" s="316" t="s">
        <v>657</v>
      </c>
      <c r="C45" s="325" t="s">
        <v>659</v>
      </c>
      <c r="D45" s="325" t="s">
        <v>639</v>
      </c>
      <c r="E45" s="325" t="s">
        <v>648</v>
      </c>
      <c r="F45" s="940"/>
      <c r="G45" s="298"/>
      <c r="H45" s="309"/>
      <c r="I45" s="310"/>
      <c r="J45" s="310"/>
      <c r="K45" s="313"/>
    </row>
    <row r="46" spans="1:11" ht="33.75" customHeight="1">
      <c r="A46" s="316" t="s">
        <v>488</v>
      </c>
      <c r="B46" s="316" t="s">
        <v>638</v>
      </c>
      <c r="C46" s="325" t="s">
        <v>649</v>
      </c>
      <c r="D46" s="325" t="s">
        <v>635</v>
      </c>
      <c r="E46" s="325" t="s">
        <v>636</v>
      </c>
      <c r="F46" s="940" t="s">
        <v>670</v>
      </c>
      <c r="G46" s="298"/>
      <c r="H46" s="309"/>
      <c r="I46" s="310"/>
      <c r="J46" s="310"/>
      <c r="K46" s="313"/>
    </row>
    <row r="47" spans="1:11" ht="33.75" customHeight="1">
      <c r="A47" s="316" t="s">
        <v>488</v>
      </c>
      <c r="B47" s="316" t="s">
        <v>638</v>
      </c>
      <c r="C47" s="325" t="s">
        <v>649</v>
      </c>
      <c r="D47" s="325" t="s">
        <v>635</v>
      </c>
      <c r="E47" s="325" t="s">
        <v>637</v>
      </c>
      <c r="F47" s="940"/>
      <c r="G47" s="298"/>
      <c r="H47" s="309"/>
      <c r="I47" s="310"/>
      <c r="J47" s="310"/>
      <c r="K47" s="313"/>
    </row>
    <row r="48" spans="1:11" ht="33.75" customHeight="1">
      <c r="A48" s="316" t="s">
        <v>488</v>
      </c>
      <c r="B48" s="316" t="s">
        <v>638</v>
      </c>
      <c r="C48" s="325" t="s">
        <v>649</v>
      </c>
      <c r="D48" s="325" t="s">
        <v>639</v>
      </c>
      <c r="E48" s="325" t="s">
        <v>640</v>
      </c>
      <c r="F48" s="940"/>
      <c r="G48" s="298"/>
      <c r="H48" s="309"/>
      <c r="I48" s="310"/>
      <c r="J48" s="310"/>
      <c r="K48" s="313"/>
    </row>
    <row r="49" spans="1:11" ht="33.75" customHeight="1">
      <c r="A49" s="316" t="s">
        <v>488</v>
      </c>
      <c r="B49" s="316" t="s">
        <v>638</v>
      </c>
      <c r="C49" s="325" t="s">
        <v>649</v>
      </c>
      <c r="D49" s="325" t="s">
        <v>639</v>
      </c>
      <c r="E49" s="325" t="s">
        <v>644</v>
      </c>
      <c r="F49" s="940"/>
      <c r="G49" s="298"/>
      <c r="H49" s="309"/>
      <c r="I49" s="310"/>
      <c r="J49" s="310"/>
      <c r="K49" s="313"/>
    </row>
    <row r="50" spans="1:11" ht="33.75" customHeight="1">
      <c r="A50" s="316" t="s">
        <v>488</v>
      </c>
      <c r="B50" s="316" t="s">
        <v>638</v>
      </c>
      <c r="C50" s="325" t="s">
        <v>649</v>
      </c>
      <c r="D50" s="325" t="s">
        <v>639</v>
      </c>
      <c r="E50" s="325" t="s">
        <v>647</v>
      </c>
      <c r="F50" s="940"/>
      <c r="G50" s="298"/>
      <c r="H50" s="309"/>
      <c r="I50" s="310"/>
      <c r="J50" s="310"/>
      <c r="K50" s="313"/>
    </row>
    <row r="51" spans="1:11" ht="33.75" customHeight="1">
      <c r="A51" s="316" t="s">
        <v>488</v>
      </c>
      <c r="B51" s="316" t="s">
        <v>638</v>
      </c>
      <c r="C51" s="325" t="s">
        <v>649</v>
      </c>
      <c r="D51" s="325" t="s">
        <v>639</v>
      </c>
      <c r="E51" s="325" t="s">
        <v>648</v>
      </c>
      <c r="F51" s="940"/>
      <c r="G51" s="298"/>
      <c r="H51" s="309"/>
      <c r="I51" s="310"/>
      <c r="J51" s="310"/>
      <c r="K51" s="313"/>
    </row>
    <row r="52" spans="1:11" ht="33.75" customHeight="1">
      <c r="A52" s="316" t="s">
        <v>488</v>
      </c>
      <c r="B52" s="316" t="s">
        <v>638</v>
      </c>
      <c r="C52" s="325" t="s">
        <v>650</v>
      </c>
      <c r="D52" s="325" t="s">
        <v>635</v>
      </c>
      <c r="E52" s="325" t="s">
        <v>636</v>
      </c>
      <c r="F52" s="941" t="s">
        <v>671</v>
      </c>
      <c r="G52" s="298"/>
      <c r="H52" s="309"/>
      <c r="I52" s="310"/>
      <c r="J52" s="310"/>
      <c r="K52" s="313"/>
    </row>
    <row r="53" spans="1:11" ht="33.75" customHeight="1">
      <c r="A53" s="316" t="s">
        <v>488</v>
      </c>
      <c r="B53" s="316" t="s">
        <v>638</v>
      </c>
      <c r="C53" s="325" t="s">
        <v>650</v>
      </c>
      <c r="D53" s="325" t="s">
        <v>635</v>
      </c>
      <c r="E53" s="325" t="s">
        <v>637</v>
      </c>
      <c r="F53" s="942"/>
      <c r="G53" s="298"/>
      <c r="H53" s="309"/>
      <c r="I53" s="310"/>
      <c r="J53" s="310"/>
      <c r="K53" s="313"/>
    </row>
    <row r="54" spans="1:11" ht="33.75" customHeight="1">
      <c r="A54" s="316" t="s">
        <v>488</v>
      </c>
      <c r="B54" s="316" t="s">
        <v>638</v>
      </c>
      <c r="C54" s="325" t="s">
        <v>650</v>
      </c>
      <c r="D54" s="325" t="s">
        <v>639</v>
      </c>
      <c r="E54" s="325" t="s">
        <v>640</v>
      </c>
      <c r="F54" s="942"/>
      <c r="G54" s="298"/>
      <c r="H54" s="309"/>
      <c r="I54" s="310"/>
      <c r="J54" s="310"/>
      <c r="K54" s="313"/>
    </row>
    <row r="55" spans="1:11" ht="33.75" customHeight="1">
      <c r="A55" s="316" t="s">
        <v>488</v>
      </c>
      <c r="B55" s="316" t="s">
        <v>638</v>
      </c>
      <c r="C55" s="325" t="s">
        <v>650</v>
      </c>
      <c r="D55" s="325" t="s">
        <v>639</v>
      </c>
      <c r="E55" s="325" t="s">
        <v>644</v>
      </c>
      <c r="F55" s="942"/>
      <c r="G55" s="298"/>
      <c r="H55" s="309"/>
      <c r="I55" s="310"/>
      <c r="J55" s="310"/>
      <c r="K55" s="313"/>
    </row>
    <row r="56" spans="1:11" ht="33.75" customHeight="1">
      <c r="A56" s="316" t="s">
        <v>488</v>
      </c>
      <c r="B56" s="316" t="s">
        <v>638</v>
      </c>
      <c r="C56" s="325" t="s">
        <v>650</v>
      </c>
      <c r="D56" s="325" t="s">
        <v>639</v>
      </c>
      <c r="E56" s="325" t="s">
        <v>647</v>
      </c>
      <c r="F56" s="942"/>
      <c r="G56" s="298"/>
      <c r="H56" s="309"/>
      <c r="I56" s="310"/>
      <c r="J56" s="310"/>
      <c r="K56" s="313"/>
    </row>
    <row r="57" spans="1:11" ht="33.75" customHeight="1">
      <c r="A57" s="316" t="s">
        <v>488</v>
      </c>
      <c r="B57" s="316" t="s">
        <v>638</v>
      </c>
      <c r="C57" s="325" t="s">
        <v>650</v>
      </c>
      <c r="D57" s="325" t="s">
        <v>639</v>
      </c>
      <c r="E57" s="325" t="s">
        <v>648</v>
      </c>
      <c r="F57" s="943"/>
      <c r="G57" s="298"/>
      <c r="H57" s="309"/>
      <c r="I57" s="310"/>
      <c r="J57" s="310"/>
      <c r="K57" s="313"/>
    </row>
    <row r="58" spans="1:11" ht="45" customHeight="1">
      <c r="A58" s="336"/>
      <c r="B58" s="336"/>
      <c r="C58" s="335" t="s">
        <v>673</v>
      </c>
      <c r="D58" s="335"/>
      <c r="E58" s="335"/>
      <c r="F58" s="337" t="s">
        <v>533</v>
      </c>
      <c r="G58" s="298" t="s">
        <v>530</v>
      </c>
      <c r="H58" s="309">
        <v>14005</v>
      </c>
      <c r="I58" s="310">
        <v>13807.61</v>
      </c>
      <c r="J58" s="310">
        <v>12121.79</v>
      </c>
      <c r="K58" s="313"/>
    </row>
    <row r="59" spans="1:11" ht="45" customHeight="1">
      <c r="A59" s="338" t="s">
        <v>514</v>
      </c>
      <c r="B59" s="338" t="s">
        <v>657</v>
      </c>
      <c r="C59" s="339" t="s">
        <v>674</v>
      </c>
      <c r="D59" s="339" t="s">
        <v>635</v>
      </c>
      <c r="E59" s="339" t="s">
        <v>636</v>
      </c>
      <c r="F59" s="954" t="s">
        <v>672</v>
      </c>
      <c r="G59" s="298"/>
      <c r="H59" s="309"/>
      <c r="I59" s="310"/>
      <c r="J59" s="310"/>
      <c r="K59" s="313"/>
    </row>
    <row r="60" spans="1:11" ht="45" customHeight="1">
      <c r="A60" s="338" t="s">
        <v>675</v>
      </c>
      <c r="B60" s="338" t="s">
        <v>657</v>
      </c>
      <c r="C60" s="339" t="s">
        <v>674</v>
      </c>
      <c r="D60" s="339" t="s">
        <v>661</v>
      </c>
      <c r="E60" s="339" t="s">
        <v>676</v>
      </c>
      <c r="F60" s="955"/>
      <c r="G60" s="298"/>
      <c r="H60" s="309"/>
      <c r="I60" s="310"/>
      <c r="J60" s="310"/>
      <c r="K60" s="313"/>
    </row>
    <row r="61" spans="1:11" ht="45" customHeight="1">
      <c r="A61" s="338" t="s">
        <v>514</v>
      </c>
      <c r="B61" s="338" t="s">
        <v>657</v>
      </c>
      <c r="C61" s="339" t="s">
        <v>674</v>
      </c>
      <c r="D61" s="339" t="s">
        <v>635</v>
      </c>
      <c r="E61" s="339" t="s">
        <v>637</v>
      </c>
      <c r="F61" s="956"/>
      <c r="G61" s="298"/>
      <c r="H61" s="309"/>
      <c r="I61" s="310"/>
      <c r="J61" s="310"/>
      <c r="K61" s="313"/>
    </row>
    <row r="62" spans="1:11" ht="45" customHeight="1">
      <c r="A62" s="338" t="s">
        <v>514</v>
      </c>
      <c r="B62" s="338" t="s">
        <v>657</v>
      </c>
      <c r="C62" s="339" t="s">
        <v>588</v>
      </c>
      <c r="D62" s="339" t="s">
        <v>639</v>
      </c>
      <c r="E62" s="339" t="s">
        <v>640</v>
      </c>
      <c r="F62" s="954" t="s">
        <v>677</v>
      </c>
      <c r="G62" s="298"/>
      <c r="H62" s="309"/>
      <c r="I62" s="310"/>
      <c r="J62" s="310"/>
      <c r="K62" s="313"/>
    </row>
    <row r="63" spans="1:11" ht="45" customHeight="1">
      <c r="A63" s="338" t="s">
        <v>514</v>
      </c>
      <c r="B63" s="338" t="s">
        <v>657</v>
      </c>
      <c r="C63" s="339" t="s">
        <v>588</v>
      </c>
      <c r="D63" s="339" t="s">
        <v>639</v>
      </c>
      <c r="E63" s="339" t="s">
        <v>641</v>
      </c>
      <c r="F63" s="955"/>
      <c r="G63" s="298"/>
      <c r="H63" s="309"/>
      <c r="I63" s="310"/>
      <c r="J63" s="310"/>
      <c r="K63" s="313"/>
    </row>
    <row r="64" spans="1:11" ht="45" customHeight="1">
      <c r="A64" s="338" t="s">
        <v>514</v>
      </c>
      <c r="B64" s="338" t="s">
        <v>657</v>
      </c>
      <c r="C64" s="339" t="s">
        <v>588</v>
      </c>
      <c r="D64" s="339" t="s">
        <v>639</v>
      </c>
      <c r="E64" s="339" t="s">
        <v>644</v>
      </c>
      <c r="F64" s="955"/>
      <c r="G64" s="298"/>
      <c r="H64" s="309"/>
      <c r="I64" s="310"/>
      <c r="J64" s="310"/>
      <c r="K64" s="313"/>
    </row>
    <row r="65" spans="1:11" ht="45" customHeight="1">
      <c r="A65" s="338" t="s">
        <v>514</v>
      </c>
      <c r="B65" s="338" t="s">
        <v>657</v>
      </c>
      <c r="C65" s="339" t="s">
        <v>588</v>
      </c>
      <c r="D65" s="339" t="s">
        <v>639</v>
      </c>
      <c r="E65" s="340" t="s">
        <v>645</v>
      </c>
      <c r="F65" s="955"/>
      <c r="G65" s="298"/>
      <c r="H65" s="309"/>
      <c r="I65" s="310"/>
      <c r="J65" s="310"/>
      <c r="K65" s="313"/>
    </row>
    <row r="66" spans="1:11" ht="45" customHeight="1">
      <c r="A66" s="338" t="s">
        <v>514</v>
      </c>
      <c r="B66" s="338" t="s">
        <v>657</v>
      </c>
      <c r="C66" s="339" t="s">
        <v>588</v>
      </c>
      <c r="D66" s="339" t="s">
        <v>639</v>
      </c>
      <c r="E66" s="340" t="s">
        <v>646</v>
      </c>
      <c r="F66" s="955"/>
      <c r="G66" s="298"/>
      <c r="H66" s="309"/>
      <c r="I66" s="310"/>
      <c r="J66" s="310"/>
      <c r="K66" s="313"/>
    </row>
    <row r="67" spans="1:11" ht="45" customHeight="1">
      <c r="A67" s="338" t="s">
        <v>514</v>
      </c>
      <c r="B67" s="338" t="s">
        <v>657</v>
      </c>
      <c r="C67" s="339" t="s">
        <v>588</v>
      </c>
      <c r="D67" s="339" t="s">
        <v>639</v>
      </c>
      <c r="E67" s="340" t="s">
        <v>647</v>
      </c>
      <c r="F67" s="955"/>
      <c r="G67" s="298"/>
      <c r="H67" s="309"/>
      <c r="I67" s="310"/>
      <c r="J67" s="310"/>
      <c r="K67" s="313"/>
    </row>
    <row r="68" spans="1:11" ht="45" customHeight="1">
      <c r="A68" s="338" t="s">
        <v>514</v>
      </c>
      <c r="B68" s="338" t="s">
        <v>657</v>
      </c>
      <c r="C68" s="339" t="s">
        <v>588</v>
      </c>
      <c r="D68" s="339" t="s">
        <v>639</v>
      </c>
      <c r="E68" s="340" t="s">
        <v>648</v>
      </c>
      <c r="F68" s="956"/>
      <c r="G68" s="298"/>
      <c r="H68" s="309"/>
      <c r="I68" s="310"/>
      <c r="J68" s="310"/>
      <c r="K68" s="313"/>
    </row>
    <row r="69" spans="1:11" ht="45" customHeight="1">
      <c r="A69" s="338" t="s">
        <v>514</v>
      </c>
      <c r="B69" s="338" t="s">
        <v>686</v>
      </c>
      <c r="C69" s="339" t="s">
        <v>678</v>
      </c>
      <c r="D69" s="339" t="s">
        <v>679</v>
      </c>
      <c r="E69" s="340" t="s">
        <v>680</v>
      </c>
      <c r="F69" s="341" t="s">
        <v>681</v>
      </c>
      <c r="G69" s="298"/>
      <c r="H69" s="309"/>
      <c r="I69" s="310"/>
      <c r="J69" s="310"/>
      <c r="K69" s="313"/>
    </row>
    <row r="70" spans="1:11" ht="45" customHeight="1">
      <c r="A70" s="338" t="s">
        <v>514</v>
      </c>
      <c r="B70" s="338" t="s">
        <v>687</v>
      </c>
      <c r="C70" s="339" t="s">
        <v>682</v>
      </c>
      <c r="D70" s="339" t="s">
        <v>683</v>
      </c>
      <c r="E70" s="340" t="s">
        <v>684</v>
      </c>
      <c r="F70" s="341" t="s">
        <v>685</v>
      </c>
      <c r="G70" s="298"/>
      <c r="H70" s="309"/>
      <c r="I70" s="310"/>
      <c r="J70" s="310"/>
      <c r="K70" s="313"/>
    </row>
    <row r="71" spans="1:11" ht="45" customHeight="1">
      <c r="A71" s="338" t="s">
        <v>514</v>
      </c>
      <c r="B71" s="338" t="s">
        <v>688</v>
      </c>
      <c r="C71" s="339" t="s">
        <v>689</v>
      </c>
      <c r="D71" s="339" t="s">
        <v>690</v>
      </c>
      <c r="E71" s="340" t="s">
        <v>691</v>
      </c>
      <c r="F71" s="341" t="s">
        <v>692</v>
      </c>
      <c r="G71" s="298"/>
      <c r="H71" s="309"/>
      <c r="I71" s="310"/>
      <c r="J71" s="310"/>
      <c r="K71" s="313"/>
    </row>
    <row r="72" spans="1:11" ht="45" customHeight="1">
      <c r="A72" s="338" t="s">
        <v>514</v>
      </c>
      <c r="B72" s="338" t="s">
        <v>693</v>
      </c>
      <c r="C72" s="339" t="s">
        <v>694</v>
      </c>
      <c r="D72" s="339" t="s">
        <v>722</v>
      </c>
      <c r="E72" s="340" t="s">
        <v>691</v>
      </c>
      <c r="F72" s="341" t="s">
        <v>695</v>
      </c>
      <c r="G72" s="298"/>
      <c r="H72" s="309"/>
      <c r="I72" s="310"/>
      <c r="J72" s="310"/>
      <c r="K72" s="313"/>
    </row>
    <row r="73" spans="1:11" ht="45" customHeight="1">
      <c r="A73" s="338" t="s">
        <v>514</v>
      </c>
      <c r="B73" s="338" t="s">
        <v>696</v>
      </c>
      <c r="C73" s="339" t="s">
        <v>697</v>
      </c>
      <c r="D73" s="339" t="s">
        <v>679</v>
      </c>
      <c r="E73" s="340" t="s">
        <v>698</v>
      </c>
      <c r="F73" s="341" t="s">
        <v>699</v>
      </c>
      <c r="G73" s="298"/>
      <c r="H73" s="309"/>
      <c r="I73" s="310"/>
      <c r="J73" s="310"/>
      <c r="K73" s="313"/>
    </row>
    <row r="74" spans="1:11" ht="47.25" customHeight="1">
      <c r="A74" s="336"/>
      <c r="B74" s="336"/>
      <c r="C74" s="335" t="s">
        <v>589</v>
      </c>
      <c r="D74" s="335"/>
      <c r="E74" s="335"/>
      <c r="F74" s="337" t="s">
        <v>534</v>
      </c>
      <c r="G74" s="298" t="s">
        <v>530</v>
      </c>
      <c r="H74" s="309">
        <v>9486.89</v>
      </c>
      <c r="I74" s="310">
        <v>9486.89</v>
      </c>
      <c r="J74" s="310">
        <v>9486.89</v>
      </c>
      <c r="K74" s="313"/>
    </row>
    <row r="75" spans="1:11" ht="47.25" customHeight="1">
      <c r="A75" s="316" t="s">
        <v>514</v>
      </c>
      <c r="B75" s="316" t="s">
        <v>638</v>
      </c>
      <c r="C75" s="340" t="s">
        <v>700</v>
      </c>
      <c r="D75" s="340" t="s">
        <v>635</v>
      </c>
      <c r="E75" s="340" t="s">
        <v>636</v>
      </c>
      <c r="F75" s="941" t="s">
        <v>701</v>
      </c>
      <c r="G75" s="298"/>
      <c r="H75" s="309"/>
      <c r="I75" s="310"/>
      <c r="J75" s="310"/>
      <c r="K75" s="313"/>
    </row>
    <row r="76" spans="1:11" ht="47.25" customHeight="1">
      <c r="A76" s="316" t="s">
        <v>514</v>
      </c>
      <c r="B76" s="316" t="s">
        <v>638</v>
      </c>
      <c r="C76" s="340" t="s">
        <v>700</v>
      </c>
      <c r="D76" s="340" t="s">
        <v>635</v>
      </c>
      <c r="E76" s="340" t="s">
        <v>637</v>
      </c>
      <c r="F76" s="942"/>
      <c r="G76" s="298"/>
      <c r="H76" s="309"/>
      <c r="I76" s="310"/>
      <c r="J76" s="310"/>
      <c r="K76" s="313"/>
    </row>
    <row r="77" spans="1:11" ht="47.25" customHeight="1">
      <c r="A77" s="316" t="s">
        <v>514</v>
      </c>
      <c r="B77" s="316" t="s">
        <v>638</v>
      </c>
      <c r="C77" s="340" t="s">
        <v>700</v>
      </c>
      <c r="D77" s="340" t="s">
        <v>661</v>
      </c>
      <c r="E77" s="340" t="s">
        <v>660</v>
      </c>
      <c r="F77" s="943"/>
      <c r="G77" s="298"/>
      <c r="H77" s="309"/>
      <c r="I77" s="310"/>
      <c r="J77" s="310"/>
      <c r="K77" s="313"/>
    </row>
    <row r="78" spans="1:11" ht="47.25" customHeight="1">
      <c r="A78" s="316" t="s">
        <v>514</v>
      </c>
      <c r="B78" s="316" t="s">
        <v>638</v>
      </c>
      <c r="C78" s="340" t="s">
        <v>702</v>
      </c>
      <c r="D78" s="340" t="s">
        <v>639</v>
      </c>
      <c r="E78" s="340" t="s">
        <v>640</v>
      </c>
      <c r="F78" s="941" t="s">
        <v>703</v>
      </c>
      <c r="G78" s="298"/>
      <c r="H78" s="309"/>
      <c r="I78" s="310"/>
      <c r="J78" s="310"/>
      <c r="K78" s="313"/>
    </row>
    <row r="79" spans="1:11" ht="47.25" customHeight="1">
      <c r="A79" s="316" t="s">
        <v>514</v>
      </c>
      <c r="B79" s="316" t="s">
        <v>638</v>
      </c>
      <c r="C79" s="340" t="s">
        <v>702</v>
      </c>
      <c r="D79" s="340" t="s">
        <v>639</v>
      </c>
      <c r="E79" s="340" t="s">
        <v>641</v>
      </c>
      <c r="F79" s="942"/>
      <c r="G79" s="298"/>
      <c r="H79" s="309"/>
      <c r="I79" s="310"/>
      <c r="J79" s="310"/>
      <c r="K79" s="313"/>
    </row>
    <row r="80" spans="1:11" ht="47.25" customHeight="1">
      <c r="A80" s="316" t="s">
        <v>514</v>
      </c>
      <c r="B80" s="316" t="s">
        <v>638</v>
      </c>
      <c r="C80" s="340" t="s">
        <v>702</v>
      </c>
      <c r="D80" s="340" t="s">
        <v>639</v>
      </c>
      <c r="E80" s="340" t="s">
        <v>642</v>
      </c>
      <c r="F80" s="942"/>
      <c r="G80" s="298"/>
      <c r="H80" s="309"/>
      <c r="I80" s="310"/>
      <c r="J80" s="310"/>
      <c r="K80" s="313"/>
    </row>
    <row r="81" spans="1:11" ht="47.25" customHeight="1">
      <c r="A81" s="316" t="s">
        <v>514</v>
      </c>
      <c r="B81" s="316" t="s">
        <v>638</v>
      </c>
      <c r="C81" s="340" t="s">
        <v>702</v>
      </c>
      <c r="D81" s="340" t="s">
        <v>639</v>
      </c>
      <c r="E81" s="340" t="s">
        <v>643</v>
      </c>
      <c r="F81" s="942"/>
      <c r="G81" s="298"/>
      <c r="H81" s="309"/>
      <c r="I81" s="310"/>
      <c r="J81" s="310"/>
      <c r="K81" s="313"/>
    </row>
    <row r="82" spans="1:11" ht="47.25" customHeight="1">
      <c r="A82" s="316" t="s">
        <v>514</v>
      </c>
      <c r="B82" s="316" t="s">
        <v>638</v>
      </c>
      <c r="C82" s="340" t="s">
        <v>702</v>
      </c>
      <c r="D82" s="340" t="s">
        <v>639</v>
      </c>
      <c r="E82" s="340" t="s">
        <v>644</v>
      </c>
      <c r="F82" s="942"/>
      <c r="G82" s="298"/>
      <c r="H82" s="309"/>
      <c r="I82" s="310"/>
      <c r="J82" s="310"/>
      <c r="K82" s="313"/>
    </row>
    <row r="83" spans="1:11" ht="47.25" customHeight="1">
      <c r="A83" s="316" t="s">
        <v>514</v>
      </c>
      <c r="B83" s="316" t="s">
        <v>638</v>
      </c>
      <c r="C83" s="340" t="s">
        <v>702</v>
      </c>
      <c r="D83" s="340" t="s">
        <v>639</v>
      </c>
      <c r="E83" s="340" t="s">
        <v>645</v>
      </c>
      <c r="F83" s="942"/>
      <c r="G83" s="298"/>
      <c r="H83" s="309"/>
      <c r="I83" s="310"/>
      <c r="J83" s="310"/>
      <c r="K83" s="313"/>
    </row>
    <row r="84" spans="1:11" ht="47.25" customHeight="1">
      <c r="A84" s="316" t="s">
        <v>514</v>
      </c>
      <c r="B84" s="316" t="s">
        <v>638</v>
      </c>
      <c r="C84" s="340" t="s">
        <v>702</v>
      </c>
      <c r="D84" s="340" t="s">
        <v>639</v>
      </c>
      <c r="E84" s="340" t="s">
        <v>646</v>
      </c>
      <c r="F84" s="942"/>
      <c r="G84" s="298"/>
      <c r="H84" s="309"/>
      <c r="I84" s="310"/>
      <c r="J84" s="310"/>
      <c r="K84" s="313"/>
    </row>
    <row r="85" spans="1:11" ht="47.25" customHeight="1">
      <c r="A85" s="316" t="s">
        <v>514</v>
      </c>
      <c r="B85" s="316" t="s">
        <v>638</v>
      </c>
      <c r="C85" s="340" t="s">
        <v>702</v>
      </c>
      <c r="D85" s="340" t="s">
        <v>639</v>
      </c>
      <c r="E85" s="340" t="s">
        <v>647</v>
      </c>
      <c r="F85" s="942"/>
      <c r="G85" s="298"/>
      <c r="H85" s="309"/>
      <c r="I85" s="310"/>
      <c r="J85" s="310"/>
      <c r="K85" s="313"/>
    </row>
    <row r="86" spans="1:11" ht="47.25" customHeight="1">
      <c r="A86" s="316" t="s">
        <v>514</v>
      </c>
      <c r="B86" s="316" t="s">
        <v>638</v>
      </c>
      <c r="C86" s="340" t="s">
        <v>702</v>
      </c>
      <c r="D86" s="340" t="s">
        <v>639</v>
      </c>
      <c r="E86" s="340" t="s">
        <v>648</v>
      </c>
      <c r="F86" s="943"/>
      <c r="G86" s="298"/>
      <c r="H86" s="309"/>
      <c r="I86" s="310"/>
      <c r="J86" s="310"/>
      <c r="K86" s="313"/>
    </row>
    <row r="87" spans="1:11" ht="79.5" customHeight="1">
      <c r="A87" s="306" t="s">
        <v>488</v>
      </c>
      <c r="B87" s="306" t="s">
        <v>704</v>
      </c>
      <c r="C87" s="325" t="s">
        <v>590</v>
      </c>
      <c r="D87" s="325" t="s">
        <v>639</v>
      </c>
      <c r="E87" s="325" t="s">
        <v>646</v>
      </c>
      <c r="F87" s="328" t="s">
        <v>535</v>
      </c>
      <c r="G87" s="297" t="s">
        <v>530</v>
      </c>
      <c r="H87" s="302">
        <v>1500</v>
      </c>
      <c r="I87" s="303"/>
      <c r="J87" s="303"/>
      <c r="K87" s="308"/>
    </row>
    <row r="88" spans="1:11" ht="25.5">
      <c r="A88" s="306" t="s">
        <v>488</v>
      </c>
      <c r="B88" s="306" t="s">
        <v>638</v>
      </c>
      <c r="C88" s="325" t="s">
        <v>591</v>
      </c>
      <c r="D88" s="325" t="s">
        <v>639</v>
      </c>
      <c r="E88" s="325" t="s">
        <v>646</v>
      </c>
      <c r="F88" s="328" t="s">
        <v>536</v>
      </c>
      <c r="G88" s="297" t="s">
        <v>530</v>
      </c>
      <c r="H88" s="302">
        <v>1000</v>
      </c>
      <c r="I88" s="303"/>
      <c r="J88" s="303"/>
      <c r="K88" s="308"/>
    </row>
    <row r="89" spans="1:11" ht="127.5" customHeight="1">
      <c r="A89" s="306" t="s">
        <v>488</v>
      </c>
      <c r="B89" s="306" t="s">
        <v>705</v>
      </c>
      <c r="C89" s="325" t="s">
        <v>592</v>
      </c>
      <c r="D89" s="325" t="s">
        <v>679</v>
      </c>
      <c r="E89" s="325" t="s">
        <v>680</v>
      </c>
      <c r="F89" s="328" t="s">
        <v>537</v>
      </c>
      <c r="G89" s="297" t="s">
        <v>530</v>
      </c>
      <c r="H89" s="302">
        <v>1000</v>
      </c>
      <c r="I89" s="303">
        <v>1000</v>
      </c>
      <c r="J89" s="303">
        <v>1000</v>
      </c>
      <c r="K89" s="308"/>
    </row>
    <row r="90" spans="1:11" ht="74.25" customHeight="1">
      <c r="A90" s="306" t="s">
        <v>488</v>
      </c>
      <c r="B90" s="306" t="s">
        <v>706</v>
      </c>
      <c r="C90" s="317" t="s">
        <v>630</v>
      </c>
      <c r="D90" s="317" t="s">
        <v>639</v>
      </c>
      <c r="E90" s="317" t="s">
        <v>645</v>
      </c>
      <c r="F90" s="328" t="s">
        <v>538</v>
      </c>
      <c r="G90" s="297" t="s">
        <v>531</v>
      </c>
      <c r="H90" s="302">
        <v>360.6</v>
      </c>
      <c r="I90" s="303">
        <v>360.6</v>
      </c>
      <c r="J90" s="303">
        <v>360.6</v>
      </c>
      <c r="K90" s="308" t="s">
        <v>540</v>
      </c>
    </row>
    <row r="91" spans="1:11" ht="12.75" customHeight="1">
      <c r="A91" s="329"/>
      <c r="B91" s="329"/>
      <c r="C91" s="928" t="s">
        <v>593</v>
      </c>
      <c r="D91" s="323"/>
      <c r="E91" s="323"/>
      <c r="F91" s="930" t="s">
        <v>541</v>
      </c>
      <c r="G91" s="297" t="s">
        <v>531</v>
      </c>
      <c r="H91" s="302">
        <v>10487.1</v>
      </c>
      <c r="I91" s="302">
        <v>11749.5</v>
      </c>
      <c r="J91" s="302">
        <v>80753.7</v>
      </c>
      <c r="K91" s="308"/>
    </row>
    <row r="92" spans="1:11" ht="18" customHeight="1">
      <c r="A92" s="330"/>
      <c r="B92" s="330"/>
      <c r="C92" s="928"/>
      <c r="D92" s="324"/>
      <c r="E92" s="324"/>
      <c r="F92" s="931"/>
      <c r="G92" s="297" t="s">
        <v>530</v>
      </c>
      <c r="H92" s="302">
        <v>43400</v>
      </c>
      <c r="I92" s="302">
        <v>43910</v>
      </c>
      <c r="J92" s="302">
        <v>41914.64</v>
      </c>
      <c r="K92" s="308"/>
    </row>
    <row r="93" spans="1:11" ht="21" customHeight="1">
      <c r="A93" s="316" t="s">
        <v>514</v>
      </c>
      <c r="B93" s="316" t="s">
        <v>707</v>
      </c>
      <c r="C93" s="340" t="s">
        <v>709</v>
      </c>
      <c r="D93" s="340" t="s">
        <v>639</v>
      </c>
      <c r="E93" s="340" t="s">
        <v>644</v>
      </c>
      <c r="F93" s="300" t="s">
        <v>542</v>
      </c>
      <c r="G93" s="298" t="s">
        <v>531</v>
      </c>
      <c r="H93" s="309">
        <v>10487.1</v>
      </c>
      <c r="I93" s="310">
        <v>11749.5</v>
      </c>
      <c r="J93" s="310">
        <v>80753.7</v>
      </c>
      <c r="K93" s="313"/>
    </row>
    <row r="94" spans="1:11" ht="21" customHeight="1">
      <c r="A94" s="316" t="s">
        <v>514</v>
      </c>
      <c r="B94" s="316" t="s">
        <v>707</v>
      </c>
      <c r="C94" s="340" t="s">
        <v>595</v>
      </c>
      <c r="D94" s="340" t="s">
        <v>639</v>
      </c>
      <c r="E94" s="340" t="s">
        <v>644</v>
      </c>
      <c r="F94" s="300" t="s">
        <v>708</v>
      </c>
      <c r="G94" s="298"/>
      <c r="H94" s="309"/>
      <c r="I94" s="310"/>
      <c r="J94" s="310"/>
      <c r="K94" s="313"/>
    </row>
    <row r="95" spans="1:11" ht="19.5" customHeight="1">
      <c r="A95" s="316" t="s">
        <v>514</v>
      </c>
      <c r="B95" s="316" t="s">
        <v>710</v>
      </c>
      <c r="C95" s="340" t="s">
        <v>594</v>
      </c>
      <c r="D95" s="340" t="s">
        <v>639</v>
      </c>
      <c r="E95" s="340" t="s">
        <v>645</v>
      </c>
      <c r="F95" s="300" t="s">
        <v>543</v>
      </c>
      <c r="G95" s="298" t="s">
        <v>530</v>
      </c>
      <c r="H95" s="309">
        <v>1400</v>
      </c>
      <c r="I95" s="310">
        <v>410</v>
      </c>
      <c r="J95" s="310">
        <v>410</v>
      </c>
      <c r="K95" s="313"/>
    </row>
    <row r="96" spans="1:11" ht="25.5" customHeight="1">
      <c r="A96" s="316" t="s">
        <v>514</v>
      </c>
      <c r="B96" s="316" t="s">
        <v>711</v>
      </c>
      <c r="C96" s="340" t="s">
        <v>596</v>
      </c>
      <c r="D96" s="340" t="s">
        <v>639</v>
      </c>
      <c r="E96" s="340" t="s">
        <v>644</v>
      </c>
      <c r="F96" s="941" t="s">
        <v>544</v>
      </c>
      <c r="G96" s="298" t="s">
        <v>530</v>
      </c>
      <c r="H96" s="309">
        <v>22000</v>
      </c>
      <c r="I96" s="310">
        <v>22500</v>
      </c>
      <c r="J96" s="310">
        <v>20504.64</v>
      </c>
      <c r="K96" s="313"/>
    </row>
    <row r="97" spans="1:11" ht="12.75">
      <c r="A97" s="316" t="s">
        <v>514</v>
      </c>
      <c r="B97" s="316" t="s">
        <v>711</v>
      </c>
      <c r="C97" s="340" t="s">
        <v>596</v>
      </c>
      <c r="D97" s="340" t="s">
        <v>639</v>
      </c>
      <c r="E97" s="340" t="s">
        <v>645</v>
      </c>
      <c r="F97" s="942"/>
      <c r="G97" s="298"/>
      <c r="H97" s="309"/>
      <c r="I97" s="310"/>
      <c r="J97" s="310"/>
      <c r="K97" s="313"/>
    </row>
    <row r="98" spans="1:11" ht="12.75">
      <c r="A98" s="316" t="s">
        <v>514</v>
      </c>
      <c r="B98" s="316" t="s">
        <v>711</v>
      </c>
      <c r="C98" s="340" t="s">
        <v>596</v>
      </c>
      <c r="D98" s="340" t="s">
        <v>639</v>
      </c>
      <c r="E98" s="340" t="s">
        <v>647</v>
      </c>
      <c r="F98" s="943"/>
      <c r="G98" s="298"/>
      <c r="H98" s="309"/>
      <c r="I98" s="310"/>
      <c r="J98" s="310"/>
      <c r="K98" s="313"/>
    </row>
    <row r="99" spans="1:11" ht="13.5" customHeight="1">
      <c r="A99" s="316" t="s">
        <v>514</v>
      </c>
      <c r="B99" s="316" t="s">
        <v>711</v>
      </c>
      <c r="C99" s="340" t="s">
        <v>597</v>
      </c>
      <c r="D99" s="340" t="s">
        <v>639</v>
      </c>
      <c r="E99" s="340" t="s">
        <v>644</v>
      </c>
      <c r="F99" s="941" t="s">
        <v>545</v>
      </c>
      <c r="G99" s="298" t="s">
        <v>530</v>
      </c>
      <c r="H99" s="309">
        <v>21000</v>
      </c>
      <c r="I99" s="310">
        <v>21000</v>
      </c>
      <c r="J99" s="310">
        <v>21000</v>
      </c>
      <c r="K99" s="313"/>
    </row>
    <row r="100" spans="1:11" ht="13.5" customHeight="1">
      <c r="A100" s="316" t="s">
        <v>514</v>
      </c>
      <c r="B100" s="316" t="s">
        <v>711</v>
      </c>
      <c r="C100" s="340" t="s">
        <v>597</v>
      </c>
      <c r="D100" s="340" t="s">
        <v>639</v>
      </c>
      <c r="E100" s="340" t="s">
        <v>645</v>
      </c>
      <c r="F100" s="942"/>
      <c r="G100" s="298"/>
      <c r="H100" s="309"/>
      <c r="I100" s="310"/>
      <c r="J100" s="310"/>
      <c r="K100" s="313"/>
    </row>
    <row r="101" spans="1:11" ht="13.5" customHeight="1">
      <c r="A101" s="316" t="s">
        <v>514</v>
      </c>
      <c r="B101" s="316" t="s">
        <v>711</v>
      </c>
      <c r="C101" s="340" t="s">
        <v>597</v>
      </c>
      <c r="D101" s="340" t="s">
        <v>639</v>
      </c>
      <c r="E101" s="340" t="s">
        <v>647</v>
      </c>
      <c r="F101" s="943"/>
      <c r="G101" s="298"/>
      <c r="H101" s="309"/>
      <c r="I101" s="310"/>
      <c r="J101" s="310"/>
      <c r="K101" s="313"/>
    </row>
    <row r="102" spans="1:11" ht="39.75" customHeight="1">
      <c r="A102" s="316" t="s">
        <v>514</v>
      </c>
      <c r="B102" s="316" t="s">
        <v>712</v>
      </c>
      <c r="C102" s="340" t="s">
        <v>598</v>
      </c>
      <c r="D102" s="340" t="s">
        <v>639</v>
      </c>
      <c r="E102" s="340" t="s">
        <v>647</v>
      </c>
      <c r="F102" s="328" t="s">
        <v>547</v>
      </c>
      <c r="G102" s="297" t="s">
        <v>530</v>
      </c>
      <c r="H102" s="302">
        <v>5000</v>
      </c>
      <c r="I102" s="303"/>
      <c r="J102" s="303"/>
      <c r="K102" s="308"/>
    </row>
    <row r="103" spans="1:11" ht="52.5" customHeight="1">
      <c r="A103" s="316"/>
      <c r="B103" s="316"/>
      <c r="C103" s="325" t="s">
        <v>599</v>
      </c>
      <c r="D103" s="325"/>
      <c r="E103" s="325"/>
      <c r="F103" s="328" t="s">
        <v>549</v>
      </c>
      <c r="G103" s="297" t="s">
        <v>530</v>
      </c>
      <c r="H103" s="302">
        <v>200</v>
      </c>
      <c r="I103" s="302">
        <v>200</v>
      </c>
      <c r="J103" s="302">
        <v>200</v>
      </c>
      <c r="K103" s="308"/>
    </row>
    <row r="104" spans="1:11" ht="39" customHeight="1">
      <c r="A104" s="316" t="s">
        <v>514</v>
      </c>
      <c r="B104" s="316" t="s">
        <v>710</v>
      </c>
      <c r="C104" s="340" t="s">
        <v>600</v>
      </c>
      <c r="D104" s="340" t="s">
        <v>639</v>
      </c>
      <c r="E104" s="340" t="s">
        <v>646</v>
      </c>
      <c r="F104" s="300" t="s">
        <v>550</v>
      </c>
      <c r="G104" s="298" t="s">
        <v>530</v>
      </c>
      <c r="H104" s="309">
        <v>100</v>
      </c>
      <c r="I104" s="310">
        <v>100</v>
      </c>
      <c r="J104" s="310">
        <v>100</v>
      </c>
      <c r="K104" s="313"/>
    </row>
    <row r="105" spans="1:11" ht="39.75" customHeight="1">
      <c r="A105" s="316" t="s">
        <v>514</v>
      </c>
      <c r="B105" s="316" t="s">
        <v>710</v>
      </c>
      <c r="C105" s="340" t="s">
        <v>601</v>
      </c>
      <c r="D105" s="340" t="s">
        <v>639</v>
      </c>
      <c r="E105" s="340" t="s">
        <v>646</v>
      </c>
      <c r="F105" s="300" t="s">
        <v>551</v>
      </c>
      <c r="G105" s="298" t="s">
        <v>530</v>
      </c>
      <c r="H105" s="309">
        <v>100</v>
      </c>
      <c r="I105" s="310">
        <v>100</v>
      </c>
      <c r="J105" s="310">
        <v>100</v>
      </c>
      <c r="K105" s="313"/>
    </row>
    <row r="106" spans="1:11" ht="30" customHeight="1">
      <c r="A106" s="306" t="s">
        <v>514</v>
      </c>
      <c r="B106" s="306" t="s">
        <v>638</v>
      </c>
      <c r="C106" s="317" t="s">
        <v>628</v>
      </c>
      <c r="D106" s="317" t="s">
        <v>713</v>
      </c>
      <c r="E106" s="317" t="s">
        <v>714</v>
      </c>
      <c r="F106" s="328" t="s">
        <v>553</v>
      </c>
      <c r="G106" s="297" t="s">
        <v>530</v>
      </c>
      <c r="H106" s="302">
        <v>500</v>
      </c>
      <c r="I106" s="303">
        <v>500</v>
      </c>
      <c r="J106" s="303">
        <v>500</v>
      </c>
      <c r="K106" s="308"/>
    </row>
    <row r="107" spans="1:11" ht="27" customHeight="1">
      <c r="A107" s="329"/>
      <c r="B107" s="329"/>
      <c r="C107" s="928" t="s">
        <v>602</v>
      </c>
      <c r="D107" s="323"/>
      <c r="E107" s="323"/>
      <c r="F107" s="930" t="s">
        <v>554</v>
      </c>
      <c r="G107" s="297" t="s">
        <v>530</v>
      </c>
      <c r="H107" s="302">
        <v>45401.14</v>
      </c>
      <c r="I107" s="302">
        <v>55230.89</v>
      </c>
      <c r="J107" s="302">
        <v>68379.15</v>
      </c>
      <c r="K107" s="308"/>
    </row>
    <row r="108" spans="1:11" ht="14.25" customHeight="1">
      <c r="A108" s="330"/>
      <c r="B108" s="330"/>
      <c r="C108" s="928"/>
      <c r="D108" s="324"/>
      <c r="E108" s="324"/>
      <c r="F108" s="931"/>
      <c r="G108" s="297" t="s">
        <v>531</v>
      </c>
      <c r="H108" s="302">
        <v>472.7</v>
      </c>
      <c r="I108" s="302">
        <v>337.7</v>
      </c>
      <c r="J108" s="302">
        <v>287.6</v>
      </c>
      <c r="K108" s="308"/>
    </row>
    <row r="109" spans="1:11" ht="24" customHeight="1">
      <c r="A109" s="316" t="s">
        <v>514</v>
      </c>
      <c r="B109" s="316" t="s">
        <v>715</v>
      </c>
      <c r="C109" s="325" t="s">
        <v>606</v>
      </c>
      <c r="D109" s="325" t="s">
        <v>716</v>
      </c>
      <c r="E109" s="325" t="s">
        <v>717</v>
      </c>
      <c r="F109" s="299" t="s">
        <v>555</v>
      </c>
      <c r="G109" s="298" t="s">
        <v>530</v>
      </c>
      <c r="H109" s="309">
        <v>17346.29</v>
      </c>
      <c r="I109" s="310">
        <v>21446.82</v>
      </c>
      <c r="J109" s="310">
        <v>25228.17</v>
      </c>
      <c r="K109" s="313"/>
    </row>
    <row r="110" spans="1:11" ht="20.25" customHeight="1">
      <c r="A110" s="331"/>
      <c r="B110" s="331"/>
      <c r="C110" s="944" t="s">
        <v>603</v>
      </c>
      <c r="D110" s="323"/>
      <c r="E110" s="323"/>
      <c r="F110" s="946" t="s">
        <v>556</v>
      </c>
      <c r="G110" s="298" t="s">
        <v>531</v>
      </c>
      <c r="H110" s="309">
        <v>368</v>
      </c>
      <c r="I110" s="310">
        <v>240.9</v>
      </c>
      <c r="J110" s="310">
        <v>202.3</v>
      </c>
      <c r="K110" s="313"/>
    </row>
    <row r="111" spans="1:11" ht="20.25" customHeight="1">
      <c r="A111" s="332" t="s">
        <v>514</v>
      </c>
      <c r="B111" s="332" t="s">
        <v>718</v>
      </c>
      <c r="C111" s="945"/>
      <c r="D111" s="324" t="s">
        <v>716</v>
      </c>
      <c r="E111" s="324" t="s">
        <v>717</v>
      </c>
      <c r="F111" s="947"/>
      <c r="G111" s="298" t="s">
        <v>530</v>
      </c>
      <c r="H111" s="309">
        <v>13470.4</v>
      </c>
      <c r="I111" s="310">
        <v>15882.25</v>
      </c>
      <c r="J111" s="310">
        <v>19819.73</v>
      </c>
      <c r="K111" s="313"/>
    </row>
    <row r="112" spans="1:11" ht="30.75" customHeight="1">
      <c r="A112" s="316" t="s">
        <v>514</v>
      </c>
      <c r="B112" s="316" t="s">
        <v>718</v>
      </c>
      <c r="C112" s="325" t="s">
        <v>604</v>
      </c>
      <c r="D112" s="325" t="s">
        <v>719</v>
      </c>
      <c r="E112" s="325" t="s">
        <v>717</v>
      </c>
      <c r="F112" s="299" t="s">
        <v>557</v>
      </c>
      <c r="G112" s="298" t="s">
        <v>530</v>
      </c>
      <c r="H112" s="309">
        <v>723</v>
      </c>
      <c r="I112" s="310">
        <v>723</v>
      </c>
      <c r="J112" s="310">
        <v>723</v>
      </c>
      <c r="K112" s="313"/>
    </row>
    <row r="113" spans="1:11" ht="12.75">
      <c r="A113" s="331"/>
      <c r="B113" s="331"/>
      <c r="C113" s="944" t="s">
        <v>605</v>
      </c>
      <c r="D113" s="323"/>
      <c r="E113" s="323"/>
      <c r="F113" s="946" t="s">
        <v>558</v>
      </c>
      <c r="G113" s="298" t="s">
        <v>531</v>
      </c>
      <c r="H113" s="309">
        <v>104.7</v>
      </c>
      <c r="I113" s="310">
        <v>96.8</v>
      </c>
      <c r="J113" s="310">
        <v>85.3</v>
      </c>
      <c r="K113" s="313"/>
    </row>
    <row r="114" spans="1:11" ht="23.25" customHeight="1">
      <c r="A114" s="332" t="s">
        <v>514</v>
      </c>
      <c r="B114" s="332" t="s">
        <v>718</v>
      </c>
      <c r="C114" s="945"/>
      <c r="D114" s="324" t="s">
        <v>716</v>
      </c>
      <c r="E114" s="324" t="s">
        <v>717</v>
      </c>
      <c r="F114" s="947"/>
      <c r="G114" s="298" t="s">
        <v>530</v>
      </c>
      <c r="H114" s="309">
        <v>13861.45</v>
      </c>
      <c r="I114" s="310">
        <v>17178.82</v>
      </c>
      <c r="J114" s="310">
        <v>22608.25</v>
      </c>
      <c r="K114" s="313"/>
    </row>
    <row r="115" spans="1:11" ht="67.5" customHeight="1">
      <c r="A115" s="316" t="s">
        <v>514</v>
      </c>
      <c r="B115" s="316" t="s">
        <v>720</v>
      </c>
      <c r="C115" s="325" t="s">
        <v>607</v>
      </c>
      <c r="D115" s="325" t="s">
        <v>721</v>
      </c>
      <c r="E115" s="325" t="s">
        <v>717</v>
      </c>
      <c r="F115" s="328" t="s">
        <v>559</v>
      </c>
      <c r="G115" s="297" t="s">
        <v>530</v>
      </c>
      <c r="H115" s="302">
        <v>500</v>
      </c>
      <c r="I115" s="303">
        <v>500</v>
      </c>
      <c r="J115" s="303">
        <v>500</v>
      </c>
      <c r="K115" s="308"/>
    </row>
    <row r="116" spans="1:11" ht="90" customHeight="1">
      <c r="A116" s="316"/>
      <c r="B116" s="316"/>
      <c r="C116" s="317" t="s">
        <v>629</v>
      </c>
      <c r="D116" s="317"/>
      <c r="E116" s="317"/>
      <c r="F116" s="328" t="s">
        <v>560</v>
      </c>
      <c r="G116" s="297" t="s">
        <v>531</v>
      </c>
      <c r="H116" s="302">
        <v>37599.5</v>
      </c>
      <c r="I116" s="303">
        <v>39284.9</v>
      </c>
      <c r="J116" s="303">
        <v>40828.6</v>
      </c>
      <c r="K116" s="308" t="s">
        <v>561</v>
      </c>
    </row>
    <row r="117" spans="1:11" ht="21" customHeight="1">
      <c r="A117" s="331"/>
      <c r="B117" s="331"/>
      <c r="C117" s="928" t="s">
        <v>608</v>
      </c>
      <c r="D117" s="323"/>
      <c r="E117" s="323"/>
      <c r="F117" s="930" t="s">
        <v>562</v>
      </c>
      <c r="G117" s="297" t="s">
        <v>530</v>
      </c>
      <c r="H117" s="302">
        <f>H119+H121+H130+H133</f>
        <v>30017.88</v>
      </c>
      <c r="I117" s="302">
        <v>29258.56</v>
      </c>
      <c r="J117" s="302">
        <v>25372.41</v>
      </c>
      <c r="K117" s="308"/>
    </row>
    <row r="118" spans="1:11" ht="21" customHeight="1">
      <c r="A118" s="332"/>
      <c r="B118" s="332"/>
      <c r="C118" s="928"/>
      <c r="D118" s="324"/>
      <c r="E118" s="324"/>
      <c r="F118" s="931"/>
      <c r="G118" s="297" t="s">
        <v>531</v>
      </c>
      <c r="H118" s="302">
        <v>50</v>
      </c>
      <c r="I118" s="302">
        <v>50</v>
      </c>
      <c r="J118" s="302">
        <v>50</v>
      </c>
      <c r="K118" s="308"/>
    </row>
    <row r="119" spans="1:11" ht="18" customHeight="1">
      <c r="A119" s="331"/>
      <c r="B119" s="331"/>
      <c r="C119" s="928" t="s">
        <v>612</v>
      </c>
      <c r="D119" s="323"/>
      <c r="E119" s="323"/>
      <c r="F119" s="941" t="s">
        <v>563</v>
      </c>
      <c r="G119" s="298" t="s">
        <v>530</v>
      </c>
      <c r="H119" s="309">
        <v>12578.92</v>
      </c>
      <c r="I119" s="310">
        <v>13889.6</v>
      </c>
      <c r="J119" s="310">
        <v>15003.45</v>
      </c>
      <c r="K119" s="313"/>
    </row>
    <row r="120" spans="1:11" ht="16.5" customHeight="1">
      <c r="A120" s="332" t="s">
        <v>514</v>
      </c>
      <c r="B120" s="332" t="s">
        <v>723</v>
      </c>
      <c r="C120" s="928"/>
      <c r="D120" s="324" t="s">
        <v>716</v>
      </c>
      <c r="E120" s="324" t="s">
        <v>717</v>
      </c>
      <c r="F120" s="943"/>
      <c r="G120" s="298" t="s">
        <v>531</v>
      </c>
      <c r="H120" s="309">
        <v>50</v>
      </c>
      <c r="I120" s="310">
        <v>50</v>
      </c>
      <c r="J120" s="310">
        <v>50</v>
      </c>
      <c r="K120" s="313"/>
    </row>
    <row r="121" spans="1:11" ht="35.25" customHeight="1">
      <c r="A121" s="316" t="s">
        <v>514</v>
      </c>
      <c r="B121" s="316" t="s">
        <v>724</v>
      </c>
      <c r="C121" s="340" t="s">
        <v>609</v>
      </c>
      <c r="D121" s="340" t="s">
        <v>635</v>
      </c>
      <c r="E121" s="340" t="s">
        <v>636</v>
      </c>
      <c r="F121" s="941" t="s">
        <v>564</v>
      </c>
      <c r="G121" s="298" t="s">
        <v>530</v>
      </c>
      <c r="H121" s="309">
        <v>4368.96</v>
      </c>
      <c r="I121" s="309">
        <v>4368.96</v>
      </c>
      <c r="J121" s="309">
        <v>4368.96</v>
      </c>
      <c r="K121" s="313"/>
    </row>
    <row r="122" spans="1:11" ht="35.25" customHeight="1">
      <c r="A122" s="316" t="s">
        <v>514</v>
      </c>
      <c r="B122" s="316" t="s">
        <v>724</v>
      </c>
      <c r="C122" s="340" t="s">
        <v>609</v>
      </c>
      <c r="D122" s="340" t="s">
        <v>635</v>
      </c>
      <c r="E122" s="340" t="s">
        <v>637</v>
      </c>
      <c r="F122" s="942"/>
      <c r="G122" s="298"/>
      <c r="H122" s="309"/>
      <c r="I122" s="309"/>
      <c r="J122" s="309"/>
      <c r="K122" s="313"/>
    </row>
    <row r="123" spans="1:11" ht="35.25" customHeight="1">
      <c r="A123" s="316" t="s">
        <v>514</v>
      </c>
      <c r="B123" s="316" t="s">
        <v>724</v>
      </c>
      <c r="C123" s="340" t="s">
        <v>609</v>
      </c>
      <c r="D123" s="340" t="s">
        <v>639</v>
      </c>
      <c r="E123" s="340" t="s">
        <v>640</v>
      </c>
      <c r="F123" s="942"/>
      <c r="G123" s="298"/>
      <c r="H123" s="309"/>
      <c r="I123" s="309"/>
      <c r="J123" s="309"/>
      <c r="K123" s="313"/>
    </row>
    <row r="124" spans="1:11" ht="35.25" customHeight="1">
      <c r="A124" s="316" t="s">
        <v>514</v>
      </c>
      <c r="B124" s="316" t="s">
        <v>724</v>
      </c>
      <c r="C124" s="340" t="s">
        <v>609</v>
      </c>
      <c r="D124" s="340" t="s">
        <v>639</v>
      </c>
      <c r="E124" s="340" t="s">
        <v>642</v>
      </c>
      <c r="F124" s="942"/>
      <c r="G124" s="298"/>
      <c r="H124" s="309"/>
      <c r="I124" s="309"/>
      <c r="J124" s="309"/>
      <c r="K124" s="313"/>
    </row>
    <row r="125" spans="1:11" ht="35.25" customHeight="1">
      <c r="A125" s="316" t="s">
        <v>514</v>
      </c>
      <c r="B125" s="316" t="s">
        <v>724</v>
      </c>
      <c r="C125" s="340" t="s">
        <v>609</v>
      </c>
      <c r="D125" s="340" t="s">
        <v>639</v>
      </c>
      <c r="E125" s="340" t="s">
        <v>644</v>
      </c>
      <c r="F125" s="942"/>
      <c r="G125" s="298"/>
      <c r="H125" s="309"/>
      <c r="I125" s="309"/>
      <c r="J125" s="309"/>
      <c r="K125" s="313"/>
    </row>
    <row r="126" spans="1:11" ht="35.25" customHeight="1">
      <c r="A126" s="316" t="s">
        <v>514</v>
      </c>
      <c r="B126" s="316" t="s">
        <v>724</v>
      </c>
      <c r="C126" s="340" t="s">
        <v>609</v>
      </c>
      <c r="D126" s="340" t="s">
        <v>639</v>
      </c>
      <c r="E126" s="340" t="s">
        <v>645</v>
      </c>
      <c r="F126" s="942"/>
      <c r="G126" s="298"/>
      <c r="H126" s="309"/>
      <c r="I126" s="309"/>
      <c r="J126" s="309"/>
      <c r="K126" s="313"/>
    </row>
    <row r="127" spans="1:11" ht="35.25" customHeight="1">
      <c r="A127" s="316" t="s">
        <v>514</v>
      </c>
      <c r="B127" s="316" t="s">
        <v>724</v>
      </c>
      <c r="C127" s="340" t="s">
        <v>609</v>
      </c>
      <c r="D127" s="340" t="s">
        <v>639</v>
      </c>
      <c r="E127" s="340" t="s">
        <v>646</v>
      </c>
      <c r="F127" s="942"/>
      <c r="G127" s="298"/>
      <c r="H127" s="309"/>
      <c r="I127" s="309"/>
      <c r="J127" s="309"/>
      <c r="K127" s="313"/>
    </row>
    <row r="128" spans="1:11" ht="35.25" customHeight="1">
      <c r="A128" s="316" t="s">
        <v>514</v>
      </c>
      <c r="B128" s="316" t="s">
        <v>724</v>
      </c>
      <c r="C128" s="340" t="s">
        <v>609</v>
      </c>
      <c r="D128" s="340" t="s">
        <v>639</v>
      </c>
      <c r="E128" s="340" t="s">
        <v>647</v>
      </c>
      <c r="F128" s="942"/>
      <c r="G128" s="298"/>
      <c r="H128" s="309"/>
      <c r="I128" s="309"/>
      <c r="J128" s="309"/>
      <c r="K128" s="313"/>
    </row>
    <row r="129" spans="1:11" ht="35.25" customHeight="1">
      <c r="A129" s="316" t="s">
        <v>514</v>
      </c>
      <c r="B129" s="316" t="s">
        <v>724</v>
      </c>
      <c r="C129" s="340" t="s">
        <v>609</v>
      </c>
      <c r="D129" s="340" t="s">
        <v>639</v>
      </c>
      <c r="E129" s="340" t="s">
        <v>648</v>
      </c>
      <c r="F129" s="942"/>
      <c r="G129" s="298"/>
      <c r="H129" s="309"/>
      <c r="I129" s="309"/>
      <c r="J129" s="309"/>
      <c r="K129" s="313"/>
    </row>
    <row r="130" spans="1:11" ht="39" customHeight="1">
      <c r="A130" s="316" t="s">
        <v>514</v>
      </c>
      <c r="B130" s="316" t="s">
        <v>724</v>
      </c>
      <c r="C130" s="340" t="s">
        <v>610</v>
      </c>
      <c r="D130" s="340" t="s">
        <v>639</v>
      </c>
      <c r="E130" s="340" t="s">
        <v>644</v>
      </c>
      <c r="F130" s="941" t="s">
        <v>565</v>
      </c>
      <c r="G130" s="298" t="s">
        <v>530</v>
      </c>
      <c r="H130" s="309">
        <v>12070</v>
      </c>
      <c r="I130" s="310">
        <v>10000</v>
      </c>
      <c r="J130" s="310">
        <v>5000</v>
      </c>
      <c r="K130" s="313"/>
    </row>
    <row r="131" spans="1:11" ht="39" customHeight="1">
      <c r="A131" s="316" t="s">
        <v>514</v>
      </c>
      <c r="B131" s="316" t="s">
        <v>724</v>
      </c>
      <c r="C131" s="340" t="s">
        <v>610</v>
      </c>
      <c r="D131" s="340" t="s">
        <v>639</v>
      </c>
      <c r="E131" s="340" t="s">
        <v>645</v>
      </c>
      <c r="F131" s="942"/>
      <c r="G131" s="298"/>
      <c r="H131" s="309"/>
      <c r="I131" s="310"/>
      <c r="J131" s="310"/>
      <c r="K131" s="313"/>
    </row>
    <row r="132" spans="1:11" ht="39" customHeight="1">
      <c r="A132" s="316" t="s">
        <v>514</v>
      </c>
      <c r="B132" s="316" t="s">
        <v>724</v>
      </c>
      <c r="C132" s="340" t="s">
        <v>610</v>
      </c>
      <c r="D132" s="340" t="s">
        <v>639</v>
      </c>
      <c r="E132" s="340" t="s">
        <v>647</v>
      </c>
      <c r="F132" s="943"/>
      <c r="G132" s="298"/>
      <c r="H132" s="309"/>
      <c r="I132" s="310"/>
      <c r="J132" s="310"/>
      <c r="K132" s="313"/>
    </row>
    <row r="133" spans="1:11" ht="42.75" customHeight="1">
      <c r="A133" s="316" t="s">
        <v>514</v>
      </c>
      <c r="B133" s="316" t="s">
        <v>724</v>
      </c>
      <c r="C133" s="325" t="s">
        <v>611</v>
      </c>
      <c r="D133" s="340" t="s">
        <v>639</v>
      </c>
      <c r="E133" s="340" t="s">
        <v>646</v>
      </c>
      <c r="F133" s="300" t="s">
        <v>566</v>
      </c>
      <c r="G133" s="298" t="s">
        <v>530</v>
      </c>
      <c r="H133" s="309">
        <v>1000</v>
      </c>
      <c r="I133" s="310">
        <v>1000</v>
      </c>
      <c r="J133" s="310">
        <v>1000</v>
      </c>
      <c r="K133" s="313"/>
    </row>
    <row r="134" spans="1:11" ht="19.5" customHeight="1">
      <c r="A134" s="331"/>
      <c r="B134" s="331"/>
      <c r="C134" s="928" t="s">
        <v>613</v>
      </c>
      <c r="D134" s="323"/>
      <c r="E134" s="323"/>
      <c r="F134" s="930" t="s">
        <v>567</v>
      </c>
      <c r="G134" s="297" t="s">
        <v>530</v>
      </c>
      <c r="H134" s="302">
        <f>H136+H139+H172+H173</f>
        <v>115193.555</v>
      </c>
      <c r="I134" s="302">
        <v>91779.20999999999</v>
      </c>
      <c r="J134" s="302">
        <v>88696.01000000001</v>
      </c>
      <c r="K134" s="313"/>
    </row>
    <row r="135" spans="1:11" ht="24" customHeight="1">
      <c r="A135" s="332"/>
      <c r="B135" s="332"/>
      <c r="C135" s="928"/>
      <c r="D135" s="324"/>
      <c r="E135" s="324"/>
      <c r="F135" s="931"/>
      <c r="G135" s="297" t="s">
        <v>531</v>
      </c>
      <c r="H135" s="302">
        <v>380803.1</v>
      </c>
      <c r="I135" s="302">
        <v>380803.1</v>
      </c>
      <c r="J135" s="302">
        <v>380803.1</v>
      </c>
      <c r="K135" s="313"/>
    </row>
    <row r="136" spans="1:11" ht="12.75" customHeight="1">
      <c r="A136" s="331"/>
      <c r="B136" s="331"/>
      <c r="C136" s="948" t="s">
        <v>614</v>
      </c>
      <c r="D136" s="343"/>
      <c r="E136" s="343"/>
      <c r="F136" s="941" t="s">
        <v>568</v>
      </c>
      <c r="G136" s="298" t="s">
        <v>530</v>
      </c>
      <c r="H136" s="309">
        <v>18362.87</v>
      </c>
      <c r="I136" s="310">
        <v>19058.73</v>
      </c>
      <c r="J136" s="310">
        <v>19228.36</v>
      </c>
      <c r="K136" s="313"/>
    </row>
    <row r="137" spans="1:11" ht="18" customHeight="1">
      <c r="A137" s="332" t="s">
        <v>514</v>
      </c>
      <c r="B137" s="332" t="s">
        <v>725</v>
      </c>
      <c r="C137" s="948"/>
      <c r="D137" s="344" t="s">
        <v>716</v>
      </c>
      <c r="E137" s="344" t="s">
        <v>717</v>
      </c>
      <c r="F137" s="942"/>
      <c r="G137" s="298" t="s">
        <v>531</v>
      </c>
      <c r="H137" s="309">
        <v>22080.1</v>
      </c>
      <c r="I137" s="310">
        <v>22080.1</v>
      </c>
      <c r="J137" s="310">
        <v>22080.1</v>
      </c>
      <c r="K137" s="313"/>
    </row>
    <row r="138" spans="1:11" ht="18" customHeight="1">
      <c r="A138" s="342" t="s">
        <v>514</v>
      </c>
      <c r="B138" s="342" t="s">
        <v>725</v>
      </c>
      <c r="C138" s="340" t="s">
        <v>726</v>
      </c>
      <c r="D138" s="345" t="s">
        <v>719</v>
      </c>
      <c r="E138" s="345" t="s">
        <v>717</v>
      </c>
      <c r="F138" s="943"/>
      <c r="G138" s="298"/>
      <c r="H138" s="309"/>
      <c r="I138" s="310"/>
      <c r="J138" s="310"/>
      <c r="K138" s="313"/>
    </row>
    <row r="139" spans="1:11" ht="24.75" customHeight="1">
      <c r="A139" s="331"/>
      <c r="B139" s="331"/>
      <c r="C139" s="928" t="s">
        <v>615</v>
      </c>
      <c r="D139" s="323"/>
      <c r="E139" s="323"/>
      <c r="F139" s="941" t="s">
        <v>569</v>
      </c>
      <c r="G139" s="298" t="s">
        <v>530</v>
      </c>
      <c r="H139" s="309">
        <v>67601.62</v>
      </c>
      <c r="I139" s="310">
        <v>56434.99</v>
      </c>
      <c r="J139" s="310">
        <v>57401.8</v>
      </c>
      <c r="K139" s="313"/>
    </row>
    <row r="140" spans="1:11" ht="24.75" customHeight="1">
      <c r="A140" s="332"/>
      <c r="B140" s="332"/>
      <c r="C140" s="928"/>
      <c r="D140" s="324"/>
      <c r="E140" s="324"/>
      <c r="F140" s="943"/>
      <c r="G140" s="298" t="s">
        <v>531</v>
      </c>
      <c r="H140" s="309">
        <v>358723</v>
      </c>
      <c r="I140" s="309">
        <v>358723</v>
      </c>
      <c r="J140" s="309">
        <v>358723</v>
      </c>
      <c r="K140" s="313"/>
    </row>
    <row r="141" spans="1:11" ht="24.75" customHeight="1">
      <c r="A141" s="332" t="s">
        <v>514</v>
      </c>
      <c r="B141" s="332" t="s">
        <v>715</v>
      </c>
      <c r="C141" s="340" t="s">
        <v>727</v>
      </c>
      <c r="D141" s="344" t="s">
        <v>716</v>
      </c>
      <c r="E141" s="344" t="s">
        <v>717</v>
      </c>
      <c r="F141" s="333" t="s">
        <v>728</v>
      </c>
      <c r="G141" s="298"/>
      <c r="H141" s="309"/>
      <c r="I141" s="309"/>
      <c r="J141" s="309"/>
      <c r="K141" s="313"/>
    </row>
    <row r="142" spans="1:11" ht="24.75" customHeight="1">
      <c r="A142" s="332" t="s">
        <v>514</v>
      </c>
      <c r="B142" s="332" t="s">
        <v>715</v>
      </c>
      <c r="C142" s="340" t="s">
        <v>729</v>
      </c>
      <c r="D142" s="344" t="s">
        <v>719</v>
      </c>
      <c r="E142" s="344" t="s">
        <v>717</v>
      </c>
      <c r="F142" s="333" t="s">
        <v>742</v>
      </c>
      <c r="G142" s="298"/>
      <c r="H142" s="309"/>
      <c r="I142" s="309"/>
      <c r="J142" s="309"/>
      <c r="K142" s="313"/>
    </row>
    <row r="143" spans="1:11" ht="24.75" customHeight="1">
      <c r="A143" s="332" t="s">
        <v>514</v>
      </c>
      <c r="B143" s="332" t="s">
        <v>715</v>
      </c>
      <c r="C143" s="340" t="s">
        <v>729</v>
      </c>
      <c r="D143" s="344" t="s">
        <v>735</v>
      </c>
      <c r="E143" s="344" t="s">
        <v>636</v>
      </c>
      <c r="F143" s="941" t="s">
        <v>743</v>
      </c>
      <c r="G143" s="298"/>
      <c r="H143" s="309"/>
      <c r="I143" s="309"/>
      <c r="J143" s="309"/>
      <c r="K143" s="313"/>
    </row>
    <row r="144" spans="1:11" ht="24.75" customHeight="1">
      <c r="A144" s="332" t="s">
        <v>514</v>
      </c>
      <c r="B144" s="332" t="s">
        <v>715</v>
      </c>
      <c r="C144" s="340" t="s">
        <v>729</v>
      </c>
      <c r="D144" s="344" t="s">
        <v>735</v>
      </c>
      <c r="E144" s="344" t="s">
        <v>637</v>
      </c>
      <c r="F144" s="942"/>
      <c r="G144" s="298"/>
      <c r="H144" s="309"/>
      <c r="I144" s="309"/>
      <c r="J144" s="309"/>
      <c r="K144" s="313"/>
    </row>
    <row r="145" spans="1:11" ht="24.75" customHeight="1">
      <c r="A145" s="332" t="s">
        <v>514</v>
      </c>
      <c r="B145" s="332" t="s">
        <v>715</v>
      </c>
      <c r="C145" s="340" t="s">
        <v>729</v>
      </c>
      <c r="D145" s="344" t="s">
        <v>639</v>
      </c>
      <c r="E145" s="344" t="s">
        <v>645</v>
      </c>
      <c r="F145" s="942"/>
      <c r="G145" s="298"/>
      <c r="H145" s="309"/>
      <c r="I145" s="309"/>
      <c r="J145" s="309"/>
      <c r="K145" s="313"/>
    </row>
    <row r="146" spans="1:11" ht="24.75" customHeight="1">
      <c r="A146" s="332" t="s">
        <v>514</v>
      </c>
      <c r="B146" s="332" t="s">
        <v>715</v>
      </c>
      <c r="C146" s="340" t="s">
        <v>729</v>
      </c>
      <c r="D146" s="344" t="s">
        <v>639</v>
      </c>
      <c r="E146" s="344" t="s">
        <v>647</v>
      </c>
      <c r="F146" s="942"/>
      <c r="G146" s="298"/>
      <c r="H146" s="309"/>
      <c r="I146" s="309"/>
      <c r="J146" s="309"/>
      <c r="K146" s="313"/>
    </row>
    <row r="147" spans="1:11" ht="24.75" customHeight="1">
      <c r="A147" s="332" t="s">
        <v>514</v>
      </c>
      <c r="B147" s="332" t="s">
        <v>715</v>
      </c>
      <c r="C147" s="340" t="s">
        <v>729</v>
      </c>
      <c r="D147" s="344" t="s">
        <v>639</v>
      </c>
      <c r="E147" s="344" t="s">
        <v>648</v>
      </c>
      <c r="F147" s="943"/>
      <c r="G147" s="298"/>
      <c r="H147" s="309"/>
      <c r="I147" s="309"/>
      <c r="J147" s="309"/>
      <c r="K147" s="313"/>
    </row>
    <row r="148" spans="1:11" ht="24.75" customHeight="1">
      <c r="A148" s="332" t="s">
        <v>514</v>
      </c>
      <c r="B148" s="332" t="s">
        <v>715</v>
      </c>
      <c r="C148" s="340" t="s">
        <v>730</v>
      </c>
      <c r="D148" s="344" t="s">
        <v>719</v>
      </c>
      <c r="E148" s="344" t="s">
        <v>717</v>
      </c>
      <c r="F148" s="333" t="s">
        <v>744</v>
      </c>
      <c r="G148" s="298"/>
      <c r="H148" s="309"/>
      <c r="I148" s="309"/>
      <c r="J148" s="309"/>
      <c r="K148" s="313"/>
    </row>
    <row r="149" spans="1:11" ht="24.75" customHeight="1">
      <c r="A149" s="332" t="s">
        <v>514</v>
      </c>
      <c r="B149" s="332" t="s">
        <v>715</v>
      </c>
      <c r="C149" s="340" t="s">
        <v>730</v>
      </c>
      <c r="D149" s="344" t="s">
        <v>735</v>
      </c>
      <c r="E149" s="344" t="s">
        <v>636</v>
      </c>
      <c r="F149" s="941" t="s">
        <v>745</v>
      </c>
      <c r="G149" s="298"/>
      <c r="H149" s="309"/>
      <c r="I149" s="309"/>
      <c r="J149" s="309"/>
      <c r="K149" s="313"/>
    </row>
    <row r="150" spans="1:11" ht="24.75" customHeight="1">
      <c r="A150" s="332" t="s">
        <v>514</v>
      </c>
      <c r="B150" s="332" t="s">
        <v>715</v>
      </c>
      <c r="C150" s="340" t="s">
        <v>730</v>
      </c>
      <c r="D150" s="344" t="s">
        <v>735</v>
      </c>
      <c r="E150" s="344" t="s">
        <v>637</v>
      </c>
      <c r="F150" s="943"/>
      <c r="G150" s="298"/>
      <c r="H150" s="309"/>
      <c r="I150" s="309"/>
      <c r="J150" s="309"/>
      <c r="K150" s="313"/>
    </row>
    <row r="151" spans="1:11" ht="24.75" customHeight="1">
      <c r="A151" s="332" t="s">
        <v>514</v>
      </c>
      <c r="B151" s="332" t="s">
        <v>732</v>
      </c>
      <c r="C151" s="340" t="s">
        <v>731</v>
      </c>
      <c r="D151" s="344" t="s">
        <v>733</v>
      </c>
      <c r="E151" s="344" t="s">
        <v>717</v>
      </c>
      <c r="F151" s="333" t="s">
        <v>746</v>
      </c>
      <c r="G151" s="298"/>
      <c r="H151" s="309"/>
      <c r="I151" s="309"/>
      <c r="J151" s="309"/>
      <c r="K151" s="313"/>
    </row>
    <row r="152" spans="1:11" ht="24.75" customHeight="1">
      <c r="A152" s="332" t="s">
        <v>514</v>
      </c>
      <c r="B152" s="332" t="s">
        <v>732</v>
      </c>
      <c r="C152" s="340" t="s">
        <v>731</v>
      </c>
      <c r="D152" s="344" t="s">
        <v>733</v>
      </c>
      <c r="E152" s="344" t="s">
        <v>645</v>
      </c>
      <c r="F152" s="941" t="s">
        <v>747</v>
      </c>
      <c r="G152" s="298"/>
      <c r="H152" s="309"/>
      <c r="I152" s="309"/>
      <c r="J152" s="309"/>
      <c r="K152" s="313"/>
    </row>
    <row r="153" spans="1:11" ht="24.75" customHeight="1">
      <c r="A153" s="332" t="s">
        <v>514</v>
      </c>
      <c r="B153" s="332" t="s">
        <v>732</v>
      </c>
      <c r="C153" s="340" t="s">
        <v>731</v>
      </c>
      <c r="D153" s="344" t="s">
        <v>733</v>
      </c>
      <c r="E153" s="344" t="s">
        <v>680</v>
      </c>
      <c r="F153" s="943"/>
      <c r="G153" s="298"/>
      <c r="H153" s="309"/>
      <c r="I153" s="309"/>
      <c r="J153" s="309"/>
      <c r="K153" s="313"/>
    </row>
    <row r="154" spans="1:11" ht="24.75" customHeight="1">
      <c r="A154" s="332" t="s">
        <v>514</v>
      </c>
      <c r="B154" s="332" t="s">
        <v>715</v>
      </c>
      <c r="C154" s="340" t="s">
        <v>734</v>
      </c>
      <c r="D154" s="344" t="s">
        <v>719</v>
      </c>
      <c r="E154" s="344" t="s">
        <v>717</v>
      </c>
      <c r="F154" s="333" t="s">
        <v>748</v>
      </c>
      <c r="G154" s="298"/>
      <c r="H154" s="309"/>
      <c r="I154" s="309"/>
      <c r="J154" s="309"/>
      <c r="K154" s="313"/>
    </row>
    <row r="155" spans="1:11" ht="24.75" customHeight="1">
      <c r="A155" s="332" t="s">
        <v>514</v>
      </c>
      <c r="B155" s="332" t="s">
        <v>715</v>
      </c>
      <c r="C155" s="340" t="s">
        <v>734</v>
      </c>
      <c r="D155" s="344" t="s">
        <v>639</v>
      </c>
      <c r="E155" s="344" t="s">
        <v>648</v>
      </c>
      <c r="F155" s="333" t="s">
        <v>749</v>
      </c>
      <c r="G155" s="298"/>
      <c r="H155" s="309"/>
      <c r="I155" s="309"/>
      <c r="J155" s="309"/>
      <c r="K155" s="313"/>
    </row>
    <row r="156" spans="1:11" ht="24.75" customHeight="1">
      <c r="A156" s="332" t="s">
        <v>514</v>
      </c>
      <c r="B156" s="332" t="s">
        <v>715</v>
      </c>
      <c r="C156" s="340" t="s">
        <v>727</v>
      </c>
      <c r="D156" s="344" t="s">
        <v>735</v>
      </c>
      <c r="E156" s="344" t="s">
        <v>636</v>
      </c>
      <c r="F156" s="941" t="s">
        <v>740</v>
      </c>
      <c r="G156" s="298"/>
      <c r="H156" s="309"/>
      <c r="I156" s="309"/>
      <c r="J156" s="309"/>
      <c r="K156" s="313"/>
    </row>
    <row r="157" spans="1:11" ht="24.75" customHeight="1">
      <c r="A157" s="332" t="s">
        <v>514</v>
      </c>
      <c r="B157" s="332" t="s">
        <v>715</v>
      </c>
      <c r="C157" s="340" t="s">
        <v>727</v>
      </c>
      <c r="D157" s="344" t="s">
        <v>735</v>
      </c>
      <c r="E157" s="344" t="s">
        <v>637</v>
      </c>
      <c r="F157" s="943"/>
      <c r="G157" s="298"/>
      <c r="H157" s="309"/>
      <c r="I157" s="309"/>
      <c r="J157" s="309"/>
      <c r="K157" s="313"/>
    </row>
    <row r="158" spans="1:11" ht="24.75" customHeight="1">
      <c r="A158" s="332" t="s">
        <v>514</v>
      </c>
      <c r="B158" s="332" t="s">
        <v>715</v>
      </c>
      <c r="C158" s="340" t="s">
        <v>615</v>
      </c>
      <c r="D158" s="344" t="s">
        <v>639</v>
      </c>
      <c r="E158" s="344" t="s">
        <v>640</v>
      </c>
      <c r="F158" s="941" t="s">
        <v>741</v>
      </c>
      <c r="G158" s="298"/>
      <c r="H158" s="309"/>
      <c r="I158" s="309"/>
      <c r="J158" s="309"/>
      <c r="K158" s="313"/>
    </row>
    <row r="159" spans="1:11" ht="24.75" customHeight="1">
      <c r="A159" s="332" t="s">
        <v>514</v>
      </c>
      <c r="B159" s="332" t="s">
        <v>715</v>
      </c>
      <c r="C159" s="340" t="s">
        <v>615</v>
      </c>
      <c r="D159" s="344" t="s">
        <v>639</v>
      </c>
      <c r="E159" s="344" t="s">
        <v>641</v>
      </c>
      <c r="F159" s="942"/>
      <c r="G159" s="298"/>
      <c r="H159" s="309"/>
      <c r="I159" s="309"/>
      <c r="J159" s="309"/>
      <c r="K159" s="313"/>
    </row>
    <row r="160" spans="1:11" ht="24.75" customHeight="1">
      <c r="A160" s="332" t="s">
        <v>514</v>
      </c>
      <c r="B160" s="332" t="s">
        <v>715</v>
      </c>
      <c r="C160" s="340" t="s">
        <v>615</v>
      </c>
      <c r="D160" s="344" t="s">
        <v>639</v>
      </c>
      <c r="E160" s="344" t="s">
        <v>642</v>
      </c>
      <c r="F160" s="942"/>
      <c r="G160" s="298"/>
      <c r="H160" s="309"/>
      <c r="I160" s="309"/>
      <c r="J160" s="309"/>
      <c r="K160" s="313"/>
    </row>
    <row r="161" spans="1:11" ht="24.75" customHeight="1">
      <c r="A161" s="332" t="s">
        <v>514</v>
      </c>
      <c r="B161" s="332" t="s">
        <v>715</v>
      </c>
      <c r="C161" s="340" t="s">
        <v>615</v>
      </c>
      <c r="D161" s="344" t="s">
        <v>639</v>
      </c>
      <c r="E161" s="344" t="s">
        <v>643</v>
      </c>
      <c r="F161" s="942"/>
      <c r="G161" s="298"/>
      <c r="H161" s="309"/>
      <c r="I161" s="309"/>
      <c r="J161" s="309"/>
      <c r="K161" s="313"/>
    </row>
    <row r="162" spans="1:11" ht="24.75" customHeight="1">
      <c r="A162" s="332" t="s">
        <v>514</v>
      </c>
      <c r="B162" s="332" t="s">
        <v>715</v>
      </c>
      <c r="C162" s="340" t="s">
        <v>615</v>
      </c>
      <c r="D162" s="344" t="s">
        <v>639</v>
      </c>
      <c r="E162" s="344" t="s">
        <v>644</v>
      </c>
      <c r="F162" s="942"/>
      <c r="G162" s="298"/>
      <c r="H162" s="309"/>
      <c r="I162" s="309"/>
      <c r="J162" s="309"/>
      <c r="K162" s="313"/>
    </row>
    <row r="163" spans="1:11" ht="24.75" customHeight="1">
      <c r="A163" s="332" t="s">
        <v>514</v>
      </c>
      <c r="B163" s="332" t="s">
        <v>715</v>
      </c>
      <c r="C163" s="340" t="s">
        <v>615</v>
      </c>
      <c r="D163" s="344" t="s">
        <v>639</v>
      </c>
      <c r="E163" s="344" t="s">
        <v>645</v>
      </c>
      <c r="F163" s="942"/>
      <c r="G163" s="298"/>
      <c r="H163" s="309"/>
      <c r="I163" s="309"/>
      <c r="J163" s="309"/>
      <c r="K163" s="313"/>
    </row>
    <row r="164" spans="1:11" ht="24.75" customHeight="1">
      <c r="A164" s="332" t="s">
        <v>514</v>
      </c>
      <c r="B164" s="332" t="s">
        <v>715</v>
      </c>
      <c r="C164" s="340" t="s">
        <v>615</v>
      </c>
      <c r="D164" s="344" t="s">
        <v>639</v>
      </c>
      <c r="E164" s="344" t="s">
        <v>646</v>
      </c>
      <c r="F164" s="942"/>
      <c r="G164" s="298"/>
      <c r="H164" s="309"/>
      <c r="I164" s="309"/>
      <c r="J164" s="309"/>
      <c r="K164" s="313"/>
    </row>
    <row r="165" spans="1:11" ht="24.75" customHeight="1">
      <c r="A165" s="332" t="s">
        <v>514</v>
      </c>
      <c r="B165" s="332" t="s">
        <v>715</v>
      </c>
      <c r="C165" s="340" t="s">
        <v>615</v>
      </c>
      <c r="D165" s="344" t="s">
        <v>639</v>
      </c>
      <c r="E165" s="344" t="s">
        <v>680</v>
      </c>
      <c r="F165" s="942"/>
      <c r="G165" s="298"/>
      <c r="H165" s="309"/>
      <c r="I165" s="309"/>
      <c r="J165" s="309"/>
      <c r="K165" s="313"/>
    </row>
    <row r="166" spans="1:11" ht="24.75" customHeight="1">
      <c r="A166" s="332" t="s">
        <v>514</v>
      </c>
      <c r="B166" s="332" t="s">
        <v>715</v>
      </c>
      <c r="C166" s="340" t="s">
        <v>615</v>
      </c>
      <c r="D166" s="344" t="s">
        <v>639</v>
      </c>
      <c r="E166" s="344" t="s">
        <v>647</v>
      </c>
      <c r="F166" s="942"/>
      <c r="G166" s="298"/>
      <c r="H166" s="309"/>
      <c r="I166" s="309"/>
      <c r="J166" s="309"/>
      <c r="K166" s="313"/>
    </row>
    <row r="167" spans="1:11" ht="24.75" customHeight="1">
      <c r="A167" s="332" t="s">
        <v>514</v>
      </c>
      <c r="B167" s="332" t="s">
        <v>715</v>
      </c>
      <c r="C167" s="340" t="s">
        <v>615</v>
      </c>
      <c r="D167" s="344" t="s">
        <v>639</v>
      </c>
      <c r="E167" s="344" t="s">
        <v>648</v>
      </c>
      <c r="F167" s="943"/>
      <c r="G167" s="298"/>
      <c r="H167" s="309"/>
      <c r="I167" s="309"/>
      <c r="J167" s="309"/>
      <c r="K167" s="313"/>
    </row>
    <row r="168" spans="1:11" ht="24.75" customHeight="1">
      <c r="A168" s="332" t="s">
        <v>514</v>
      </c>
      <c r="B168" s="332" t="s">
        <v>715</v>
      </c>
      <c r="C168" s="340" t="s">
        <v>736</v>
      </c>
      <c r="D168" s="344" t="s">
        <v>639</v>
      </c>
      <c r="E168" s="344" t="s">
        <v>648</v>
      </c>
      <c r="F168" s="333" t="s">
        <v>738</v>
      </c>
      <c r="G168" s="298"/>
      <c r="H168" s="309"/>
      <c r="I168" s="309"/>
      <c r="J168" s="309"/>
      <c r="K168" s="313"/>
    </row>
    <row r="169" spans="1:11" ht="24.75" customHeight="1">
      <c r="A169" s="332" t="s">
        <v>514</v>
      </c>
      <c r="B169" s="332" t="s">
        <v>715</v>
      </c>
      <c r="C169" s="340" t="s">
        <v>737</v>
      </c>
      <c r="D169" s="344" t="s">
        <v>635</v>
      </c>
      <c r="E169" s="344" t="s">
        <v>636</v>
      </c>
      <c r="F169" s="941" t="s">
        <v>739</v>
      </c>
      <c r="G169" s="298"/>
      <c r="H169" s="309"/>
      <c r="I169" s="309"/>
      <c r="J169" s="309"/>
      <c r="K169" s="313"/>
    </row>
    <row r="170" spans="1:11" ht="24.75" customHeight="1">
      <c r="A170" s="332" t="s">
        <v>675</v>
      </c>
      <c r="B170" s="332" t="s">
        <v>715</v>
      </c>
      <c r="C170" s="340" t="s">
        <v>737</v>
      </c>
      <c r="D170" s="344" t="s">
        <v>635</v>
      </c>
      <c r="E170" s="344" t="s">
        <v>637</v>
      </c>
      <c r="F170" s="942"/>
      <c r="G170" s="298"/>
      <c r="H170" s="309"/>
      <c r="I170" s="309"/>
      <c r="J170" s="309"/>
      <c r="K170" s="313"/>
    </row>
    <row r="171" spans="1:11" ht="24.75" customHeight="1">
      <c r="A171" s="332" t="s">
        <v>514</v>
      </c>
      <c r="B171" s="332" t="s">
        <v>715</v>
      </c>
      <c r="C171" s="340" t="s">
        <v>737</v>
      </c>
      <c r="D171" s="344" t="s">
        <v>639</v>
      </c>
      <c r="E171" s="344" t="s">
        <v>648</v>
      </c>
      <c r="F171" s="943"/>
      <c r="G171" s="298"/>
      <c r="H171" s="309"/>
      <c r="I171" s="309"/>
      <c r="J171" s="309"/>
      <c r="K171" s="313"/>
    </row>
    <row r="172" spans="1:11" ht="25.5">
      <c r="A172" s="316" t="s">
        <v>514</v>
      </c>
      <c r="B172" s="316" t="s">
        <v>715</v>
      </c>
      <c r="C172" s="340" t="s">
        <v>616</v>
      </c>
      <c r="D172" s="340" t="s">
        <v>639</v>
      </c>
      <c r="E172" s="340" t="s">
        <v>646</v>
      </c>
      <c r="F172" s="300" t="s">
        <v>570</v>
      </c>
      <c r="G172" s="298" t="s">
        <v>530</v>
      </c>
      <c r="H172" s="309">
        <v>9949.33</v>
      </c>
      <c r="I172" s="310">
        <v>9939.81</v>
      </c>
      <c r="J172" s="310">
        <v>9965.85</v>
      </c>
      <c r="K172" s="313"/>
    </row>
    <row r="173" spans="1:11" ht="25.5">
      <c r="A173" s="316" t="s">
        <v>514</v>
      </c>
      <c r="B173" s="316" t="s">
        <v>715</v>
      </c>
      <c r="C173" s="340" t="s">
        <v>617</v>
      </c>
      <c r="D173" s="340" t="s">
        <v>639</v>
      </c>
      <c r="E173" s="340" t="s">
        <v>646</v>
      </c>
      <c r="F173" s="300" t="s">
        <v>571</v>
      </c>
      <c r="G173" s="298" t="s">
        <v>530</v>
      </c>
      <c r="H173" s="309">
        <v>19279.735</v>
      </c>
      <c r="I173" s="310">
        <v>6345.68</v>
      </c>
      <c r="J173" s="310">
        <v>2100</v>
      </c>
      <c r="K173" s="313"/>
    </row>
    <row r="174" spans="1:11" ht="12.75" customHeight="1">
      <c r="A174" s="331"/>
      <c r="B174" s="331"/>
      <c r="C174" s="928" t="s">
        <v>618</v>
      </c>
      <c r="D174" s="323"/>
      <c r="E174" s="323"/>
      <c r="F174" s="930" t="s">
        <v>572</v>
      </c>
      <c r="G174" s="297" t="s">
        <v>530</v>
      </c>
      <c r="H174" s="302">
        <v>528.78</v>
      </c>
      <c r="I174" s="302">
        <v>528.78</v>
      </c>
      <c r="J174" s="302">
        <v>528.78</v>
      </c>
      <c r="K174" s="308"/>
    </row>
    <row r="175" spans="1:11" ht="12.75">
      <c r="A175" s="332"/>
      <c r="B175" s="332"/>
      <c r="C175" s="928"/>
      <c r="D175" s="324"/>
      <c r="E175" s="324"/>
      <c r="F175" s="931"/>
      <c r="G175" s="297" t="s">
        <v>531</v>
      </c>
      <c r="H175" s="302">
        <v>20100.1</v>
      </c>
      <c r="I175" s="302">
        <v>15426.2</v>
      </c>
      <c r="J175" s="302">
        <v>15731.2</v>
      </c>
      <c r="K175" s="308"/>
    </row>
    <row r="176" spans="1:11" ht="12.75">
      <c r="A176" s="316" t="s">
        <v>177</v>
      </c>
      <c r="B176" s="316" t="s">
        <v>706</v>
      </c>
      <c r="C176" s="325" t="s">
        <v>619</v>
      </c>
      <c r="D176" s="325" t="s">
        <v>635</v>
      </c>
      <c r="E176" s="325" t="s">
        <v>636</v>
      </c>
      <c r="F176" s="941" t="s">
        <v>573</v>
      </c>
      <c r="G176" s="298" t="s">
        <v>530</v>
      </c>
      <c r="H176" s="309">
        <v>228.78</v>
      </c>
      <c r="I176" s="310">
        <v>228.78</v>
      </c>
      <c r="J176" s="310">
        <v>228.78</v>
      </c>
      <c r="K176" s="313"/>
    </row>
    <row r="177" spans="1:11" ht="12.75">
      <c r="A177" s="316" t="s">
        <v>177</v>
      </c>
      <c r="B177" s="316" t="s">
        <v>706</v>
      </c>
      <c r="C177" s="325" t="s">
        <v>750</v>
      </c>
      <c r="D177" s="325" t="s">
        <v>635</v>
      </c>
      <c r="E177" s="325" t="s">
        <v>637</v>
      </c>
      <c r="F177" s="943"/>
      <c r="G177" s="298"/>
      <c r="H177" s="309"/>
      <c r="I177" s="310"/>
      <c r="J177" s="310"/>
      <c r="K177" s="313"/>
    </row>
    <row r="178" spans="1:11" ht="25.5">
      <c r="A178" s="316" t="s">
        <v>751</v>
      </c>
      <c r="B178" s="316" t="s">
        <v>706</v>
      </c>
      <c r="C178" s="325" t="s">
        <v>620</v>
      </c>
      <c r="D178" s="325" t="s">
        <v>639</v>
      </c>
      <c r="E178" s="325" t="s">
        <v>646</v>
      </c>
      <c r="F178" s="300" t="s">
        <v>574</v>
      </c>
      <c r="G178" s="298" t="s">
        <v>530</v>
      </c>
      <c r="H178" s="309">
        <v>150</v>
      </c>
      <c r="I178" s="310">
        <v>150</v>
      </c>
      <c r="J178" s="310">
        <v>150</v>
      </c>
      <c r="K178" s="313"/>
    </row>
    <row r="179" spans="1:11" ht="38.25">
      <c r="A179" s="316" t="s">
        <v>751</v>
      </c>
      <c r="B179" s="316" t="s">
        <v>706</v>
      </c>
      <c r="C179" s="325" t="s">
        <v>621</v>
      </c>
      <c r="D179" s="325" t="s">
        <v>639</v>
      </c>
      <c r="E179" s="325" t="s">
        <v>646</v>
      </c>
      <c r="F179" s="300" t="s">
        <v>575</v>
      </c>
      <c r="G179" s="298" t="s">
        <v>530</v>
      </c>
      <c r="H179" s="309">
        <v>150</v>
      </c>
      <c r="I179" s="310">
        <v>150</v>
      </c>
      <c r="J179" s="310">
        <v>150</v>
      </c>
      <c r="K179" s="313"/>
    </row>
    <row r="180" spans="1:11" ht="25.5" customHeight="1">
      <c r="A180" s="316"/>
      <c r="B180" s="316"/>
      <c r="C180" s="325"/>
      <c r="D180" s="325"/>
      <c r="E180" s="325"/>
      <c r="F180" s="941" t="s">
        <v>576</v>
      </c>
      <c r="G180" s="298" t="s">
        <v>531</v>
      </c>
      <c r="H180" s="309">
        <v>20100.1</v>
      </c>
      <c r="I180" s="310">
        <v>15426.2</v>
      </c>
      <c r="J180" s="310">
        <v>15731.2</v>
      </c>
      <c r="K180" s="313"/>
    </row>
    <row r="181" spans="1:11" ht="12.75">
      <c r="A181" s="316" t="s">
        <v>751</v>
      </c>
      <c r="B181" s="316" t="s">
        <v>706</v>
      </c>
      <c r="C181" s="343" t="s">
        <v>752</v>
      </c>
      <c r="D181" s="343" t="s">
        <v>364</v>
      </c>
      <c r="E181" s="343" t="s">
        <v>714</v>
      </c>
      <c r="F181" s="942"/>
      <c r="G181" s="298"/>
      <c r="H181" s="309"/>
      <c r="I181" s="310"/>
      <c r="J181" s="310"/>
      <c r="K181" s="313"/>
    </row>
    <row r="182" spans="1:11" ht="12.75">
      <c r="A182" s="316" t="s">
        <v>751</v>
      </c>
      <c r="B182" s="316" t="s">
        <v>706</v>
      </c>
      <c r="C182" s="343" t="s">
        <v>753</v>
      </c>
      <c r="D182" s="343" t="s">
        <v>364</v>
      </c>
      <c r="E182" s="343" t="s">
        <v>714</v>
      </c>
      <c r="F182" s="942"/>
      <c r="G182" s="298"/>
      <c r="H182" s="309"/>
      <c r="I182" s="310"/>
      <c r="J182" s="310"/>
      <c r="K182" s="313"/>
    </row>
    <row r="183" spans="1:11" ht="12.75">
      <c r="A183" s="316" t="s">
        <v>751</v>
      </c>
      <c r="B183" s="316" t="s">
        <v>706</v>
      </c>
      <c r="C183" s="343" t="s">
        <v>754</v>
      </c>
      <c r="D183" s="343" t="s">
        <v>364</v>
      </c>
      <c r="E183" s="343" t="s">
        <v>714</v>
      </c>
      <c r="F183" s="942"/>
      <c r="G183" s="298"/>
      <c r="H183" s="309"/>
      <c r="I183" s="310"/>
      <c r="J183" s="310"/>
      <c r="K183" s="313"/>
    </row>
    <row r="184" spans="1:11" ht="12.75">
      <c r="A184" s="316" t="s">
        <v>751</v>
      </c>
      <c r="B184" s="316" t="s">
        <v>706</v>
      </c>
      <c r="C184" s="343" t="s">
        <v>755</v>
      </c>
      <c r="D184" s="343" t="s">
        <v>364</v>
      </c>
      <c r="E184" s="343" t="s">
        <v>714</v>
      </c>
      <c r="F184" s="942"/>
      <c r="G184" s="298"/>
      <c r="H184" s="309"/>
      <c r="I184" s="310"/>
      <c r="J184" s="310"/>
      <c r="K184" s="313"/>
    </row>
    <row r="185" spans="1:11" ht="12.75">
      <c r="A185" s="316" t="s">
        <v>751</v>
      </c>
      <c r="B185" s="316" t="s">
        <v>706</v>
      </c>
      <c r="C185" s="343" t="s">
        <v>756</v>
      </c>
      <c r="D185" s="343" t="s">
        <v>364</v>
      </c>
      <c r="E185" s="343" t="s">
        <v>714</v>
      </c>
      <c r="F185" s="942"/>
      <c r="G185" s="298"/>
      <c r="H185" s="309"/>
      <c r="I185" s="310"/>
      <c r="J185" s="310"/>
      <c r="K185" s="313"/>
    </row>
    <row r="186" spans="1:11" ht="12.75">
      <c r="A186" s="316" t="s">
        <v>751</v>
      </c>
      <c r="B186" s="316" t="s">
        <v>706</v>
      </c>
      <c r="C186" s="343" t="s">
        <v>757</v>
      </c>
      <c r="D186" s="343" t="s">
        <v>364</v>
      </c>
      <c r="E186" s="343" t="s">
        <v>714</v>
      </c>
      <c r="F186" s="942"/>
      <c r="G186" s="298"/>
      <c r="H186" s="309"/>
      <c r="I186" s="310"/>
      <c r="J186" s="310"/>
      <c r="K186" s="313"/>
    </row>
    <row r="187" spans="1:11" ht="12.75">
      <c r="A187" s="316" t="s">
        <v>751</v>
      </c>
      <c r="B187" s="316" t="s">
        <v>706</v>
      </c>
      <c r="C187" s="343" t="s">
        <v>758</v>
      </c>
      <c r="D187" s="343" t="s">
        <v>364</v>
      </c>
      <c r="E187" s="343" t="s">
        <v>714</v>
      </c>
      <c r="F187" s="942"/>
      <c r="G187" s="298"/>
      <c r="H187" s="309"/>
      <c r="I187" s="310"/>
      <c r="J187" s="310"/>
      <c r="K187" s="313"/>
    </row>
    <row r="188" spans="1:11" ht="12.75">
      <c r="A188" s="316" t="s">
        <v>751</v>
      </c>
      <c r="B188" s="316" t="s">
        <v>706</v>
      </c>
      <c r="C188" s="343" t="s">
        <v>759</v>
      </c>
      <c r="D188" s="343" t="s">
        <v>364</v>
      </c>
      <c r="E188" s="343" t="s">
        <v>714</v>
      </c>
      <c r="F188" s="942"/>
      <c r="G188" s="298"/>
      <c r="H188" s="309"/>
      <c r="I188" s="310"/>
      <c r="J188" s="310"/>
      <c r="K188" s="313"/>
    </row>
    <row r="189" spans="1:11" ht="12.75">
      <c r="A189" s="316" t="s">
        <v>751</v>
      </c>
      <c r="B189" s="316" t="s">
        <v>706</v>
      </c>
      <c r="C189" s="343" t="s">
        <v>760</v>
      </c>
      <c r="D189" s="343" t="s">
        <v>364</v>
      </c>
      <c r="E189" s="343" t="s">
        <v>714</v>
      </c>
      <c r="F189" s="942"/>
      <c r="G189" s="298"/>
      <c r="H189" s="309"/>
      <c r="I189" s="310"/>
      <c r="J189" s="310"/>
      <c r="K189" s="313"/>
    </row>
    <row r="190" spans="1:11" ht="40.5" customHeight="1">
      <c r="A190" s="331"/>
      <c r="B190" s="331"/>
      <c r="C190" s="323" t="s">
        <v>622</v>
      </c>
      <c r="D190" s="323"/>
      <c r="E190" s="323"/>
      <c r="F190" s="328" t="s">
        <v>577</v>
      </c>
      <c r="G190" s="297" t="s">
        <v>530</v>
      </c>
      <c r="H190" s="302">
        <v>700</v>
      </c>
      <c r="I190" s="302">
        <v>700</v>
      </c>
      <c r="J190" s="302">
        <v>700</v>
      </c>
      <c r="K190" s="308"/>
    </row>
    <row r="191" spans="1:11" ht="14.25" customHeight="1">
      <c r="A191" s="316" t="s">
        <v>488</v>
      </c>
      <c r="B191" s="316" t="s">
        <v>761</v>
      </c>
      <c r="C191" s="340" t="s">
        <v>626</v>
      </c>
      <c r="D191" s="340" t="s">
        <v>639</v>
      </c>
      <c r="E191" s="340" t="s">
        <v>646</v>
      </c>
      <c r="F191" s="300" t="s">
        <v>578</v>
      </c>
      <c r="G191" s="298" t="s">
        <v>530</v>
      </c>
      <c r="H191" s="309">
        <v>500</v>
      </c>
      <c r="I191" s="309">
        <v>500</v>
      </c>
      <c r="J191" s="309">
        <v>500</v>
      </c>
      <c r="K191" s="313"/>
    </row>
    <row r="192" spans="1:11" ht="14.25" customHeight="1">
      <c r="A192" s="316" t="s">
        <v>488</v>
      </c>
      <c r="B192" s="316" t="s">
        <v>761</v>
      </c>
      <c r="C192" s="340" t="s">
        <v>762</v>
      </c>
      <c r="D192" s="340" t="s">
        <v>639</v>
      </c>
      <c r="E192" s="340" t="s">
        <v>646</v>
      </c>
      <c r="F192" s="300" t="s">
        <v>579</v>
      </c>
      <c r="G192" s="298" t="s">
        <v>530</v>
      </c>
      <c r="H192" s="309">
        <v>90</v>
      </c>
      <c r="I192" s="309">
        <v>90</v>
      </c>
      <c r="J192" s="309">
        <v>90</v>
      </c>
      <c r="K192" s="313"/>
    </row>
    <row r="193" spans="1:11" ht="14.25" customHeight="1">
      <c r="A193" s="316" t="s">
        <v>488</v>
      </c>
      <c r="B193" s="316" t="s">
        <v>761</v>
      </c>
      <c r="C193" s="340" t="s">
        <v>627</v>
      </c>
      <c r="D193" s="340" t="s">
        <v>639</v>
      </c>
      <c r="E193" s="340" t="s">
        <v>646</v>
      </c>
      <c r="F193" s="300" t="s">
        <v>580</v>
      </c>
      <c r="G193" s="298" t="s">
        <v>530</v>
      </c>
      <c r="H193" s="309">
        <v>40</v>
      </c>
      <c r="I193" s="309">
        <v>40</v>
      </c>
      <c r="J193" s="309">
        <v>40</v>
      </c>
      <c r="K193" s="313"/>
    </row>
    <row r="194" spans="1:11" ht="25.5">
      <c r="A194" s="316" t="s">
        <v>488</v>
      </c>
      <c r="B194" s="316" t="s">
        <v>761</v>
      </c>
      <c r="C194" s="340" t="s">
        <v>623</v>
      </c>
      <c r="D194" s="340" t="s">
        <v>639</v>
      </c>
      <c r="E194" s="340" t="s">
        <v>646</v>
      </c>
      <c r="F194" s="300" t="s">
        <v>581</v>
      </c>
      <c r="G194" s="298" t="s">
        <v>530</v>
      </c>
      <c r="H194" s="309">
        <v>40</v>
      </c>
      <c r="I194" s="309">
        <v>40</v>
      </c>
      <c r="J194" s="309">
        <v>40</v>
      </c>
      <c r="K194" s="313"/>
    </row>
    <row r="195" spans="1:11" ht="25.5">
      <c r="A195" s="316" t="s">
        <v>488</v>
      </c>
      <c r="B195" s="316" t="s">
        <v>761</v>
      </c>
      <c r="C195" s="340" t="s">
        <v>624</v>
      </c>
      <c r="D195" s="340" t="s">
        <v>639</v>
      </c>
      <c r="E195" s="340" t="s">
        <v>646</v>
      </c>
      <c r="F195" s="300" t="s">
        <v>582</v>
      </c>
      <c r="G195" s="298" t="s">
        <v>530</v>
      </c>
      <c r="H195" s="309">
        <v>30</v>
      </c>
      <c r="I195" s="309">
        <v>30</v>
      </c>
      <c r="J195" s="309">
        <v>30</v>
      </c>
      <c r="K195" s="313"/>
    </row>
    <row r="196" spans="1:11" ht="12.75">
      <c r="A196" s="329" t="s">
        <v>514</v>
      </c>
      <c r="B196" s="329" t="s">
        <v>711</v>
      </c>
      <c r="C196" s="323" t="s">
        <v>625</v>
      </c>
      <c r="D196" s="323" t="s">
        <v>639</v>
      </c>
      <c r="E196" s="323" t="s">
        <v>645</v>
      </c>
      <c r="F196" s="301" t="s">
        <v>583</v>
      </c>
      <c r="G196" s="297"/>
      <c r="H196" s="302"/>
      <c r="I196" s="303"/>
      <c r="J196" s="303"/>
      <c r="K196" s="313"/>
    </row>
    <row r="197" spans="1:11" ht="12.75">
      <c r="A197" s="949"/>
      <c r="B197" s="949"/>
      <c r="C197" s="949"/>
      <c r="D197" s="949"/>
      <c r="E197" s="949"/>
      <c r="F197" s="949"/>
      <c r="G197" s="297" t="s">
        <v>530</v>
      </c>
      <c r="H197" s="302">
        <v>300615.815</v>
      </c>
      <c r="I197" s="302">
        <v>278084.51</v>
      </c>
      <c r="J197" s="302">
        <v>280582.24</v>
      </c>
      <c r="K197" s="313"/>
    </row>
    <row r="198" spans="1:10" ht="12.75">
      <c r="A198" s="950"/>
      <c r="B198" s="950"/>
      <c r="C198" s="950"/>
      <c r="D198" s="950"/>
      <c r="E198" s="950"/>
      <c r="F198" s="950"/>
      <c r="G198" s="303" t="s">
        <v>584</v>
      </c>
      <c r="H198" s="304">
        <v>450563.99999999994</v>
      </c>
      <c r="I198" s="304">
        <v>448702.9</v>
      </c>
      <c r="J198" s="304">
        <v>519505.69999999995</v>
      </c>
    </row>
    <row r="199" spans="1:10" ht="12.75">
      <c r="A199" s="315"/>
      <c r="B199" s="315"/>
      <c r="C199" s="313"/>
      <c r="D199" s="313"/>
      <c r="E199" s="313"/>
      <c r="F199" s="313"/>
      <c r="G199" s="313"/>
      <c r="H199" s="311">
        <v>751179.815</v>
      </c>
      <c r="I199" s="322">
        <v>723765.63</v>
      </c>
      <c r="J199" s="322">
        <v>799581.8</v>
      </c>
    </row>
  </sheetData>
  <sheetProtection/>
  <mergeCells count="54">
    <mergeCell ref="F121:F129"/>
    <mergeCell ref="F169:F171"/>
    <mergeCell ref="F40:F45"/>
    <mergeCell ref="F46:F51"/>
    <mergeCell ref="F52:F57"/>
    <mergeCell ref="F59:F61"/>
    <mergeCell ref="F62:F68"/>
    <mergeCell ref="F75:F77"/>
    <mergeCell ref="F130:F132"/>
    <mergeCell ref="F136:F138"/>
    <mergeCell ref="A13:F13"/>
    <mergeCell ref="F14:F15"/>
    <mergeCell ref="F16:F17"/>
    <mergeCell ref="F18:F26"/>
    <mergeCell ref="F78:F86"/>
    <mergeCell ref="F96:F98"/>
    <mergeCell ref="C139:C140"/>
    <mergeCell ref="F139:F140"/>
    <mergeCell ref="C136:C137"/>
    <mergeCell ref="A197:F198"/>
    <mergeCell ref="F156:F157"/>
    <mergeCell ref="F176:F177"/>
    <mergeCell ref="F180:F189"/>
    <mergeCell ref="C119:C120"/>
    <mergeCell ref="F119:F120"/>
    <mergeCell ref="C134:C135"/>
    <mergeCell ref="F134:F135"/>
    <mergeCell ref="C174:C175"/>
    <mergeCell ref="F174:F175"/>
    <mergeCell ref="F158:F167"/>
    <mergeCell ref="F143:F147"/>
    <mergeCell ref="F149:F150"/>
    <mergeCell ref="F152:F153"/>
    <mergeCell ref="C110:C111"/>
    <mergeCell ref="F110:F111"/>
    <mergeCell ref="C113:C114"/>
    <mergeCell ref="F113:F114"/>
    <mergeCell ref="C117:C118"/>
    <mergeCell ref="F117:F118"/>
    <mergeCell ref="C107:C108"/>
    <mergeCell ref="F107:F108"/>
    <mergeCell ref="C91:C92"/>
    <mergeCell ref="F91:F92"/>
    <mergeCell ref="F27:F28"/>
    <mergeCell ref="F29:F34"/>
    <mergeCell ref="F35:F36"/>
    <mergeCell ref="F37:F39"/>
    <mergeCell ref="F99:F101"/>
    <mergeCell ref="C11:C12"/>
    <mergeCell ref="F11:F12"/>
    <mergeCell ref="A7:K7"/>
    <mergeCell ref="C9:C10"/>
    <mergeCell ref="F9:F10"/>
    <mergeCell ref="G9:J9"/>
  </mergeCells>
  <printOptions/>
  <pageMargins left="0.4330708661417323" right="0.35433070866141736" top="0.2755905511811024" bottom="0.2362204724409449" header="0.15748031496062992" footer="0.2362204724409449"/>
  <pageSetup fitToHeight="50" horizontalDpi="600" verticalDpi="600" orientation="portrait" paperSize="9" scale="51" r:id="rId1"/>
  <rowBreaks count="1" manualBreakCount="1">
    <brk id="5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R186"/>
  <sheetViews>
    <sheetView view="pageBreakPreview" zoomScale="65" zoomScaleNormal="85" zoomScaleSheetLayoutView="65" zoomScalePageLayoutView="0" workbookViewId="0" topLeftCell="A1">
      <pane xSplit="10" ySplit="12" topLeftCell="O144" activePane="bottomRight" state="frozen"/>
      <selection pane="topLeft" activeCell="E1" sqref="E1"/>
      <selection pane="topRight" activeCell="K1" sqref="K1"/>
      <selection pane="bottomLeft" activeCell="E11" sqref="E11"/>
      <selection pane="bottomRight" activeCell="O138" sqref="O138:P149"/>
    </sheetView>
  </sheetViews>
  <sheetFormatPr defaultColWidth="9.140625" defaultRowHeight="12.75"/>
  <cols>
    <col min="1" max="1" width="5.8515625" style="482" hidden="1" customWidth="1"/>
    <col min="2" max="2" width="4.57421875" style="500" hidden="1" customWidth="1"/>
    <col min="3" max="3" width="5.00390625" style="482" hidden="1" customWidth="1"/>
    <col min="4" max="4" width="5.8515625" style="545" hidden="1" customWidth="1"/>
    <col min="5" max="5" width="25.00390625" style="482" customWidth="1"/>
    <col min="6" max="6" width="30.8515625" style="482" customWidth="1"/>
    <col min="7" max="7" width="7.57421875" style="500" customWidth="1"/>
    <col min="8" max="9" width="9.140625" style="21" customWidth="1"/>
    <col min="10" max="10" width="13.140625" style="21" customWidth="1"/>
    <col min="11" max="11" width="10.00390625" style="21" hidden="1" customWidth="1"/>
    <col min="12" max="12" width="20.7109375" style="21" hidden="1" customWidth="1"/>
    <col min="13" max="13" width="18.421875" style="21" hidden="1" customWidth="1"/>
    <col min="14" max="14" width="17.28125" style="21" hidden="1" customWidth="1"/>
    <col min="15" max="16" width="19.421875" style="484" customWidth="1"/>
    <col min="17" max="17" width="15.57421875" style="21" customWidth="1"/>
    <col min="18" max="18" width="13.28125" style="21" bestFit="1" customWidth="1"/>
    <col min="19" max="16384" width="9.140625" style="21" customWidth="1"/>
  </cols>
  <sheetData>
    <row r="1" spans="12:16" ht="12.75">
      <c r="L1" s="21" t="s">
        <v>203</v>
      </c>
      <c r="O1" s="21" t="s">
        <v>203</v>
      </c>
      <c r="P1" s="21"/>
    </row>
    <row r="2" spans="12:16" ht="12.75">
      <c r="L2" s="21" t="s">
        <v>357</v>
      </c>
      <c r="O2" s="21" t="s">
        <v>357</v>
      </c>
      <c r="P2" s="21"/>
    </row>
    <row r="3" spans="3:16" ht="12.75">
      <c r="C3" s="483"/>
      <c r="D3" s="483"/>
      <c r="E3" s="483"/>
      <c r="L3" s="21" t="s">
        <v>500</v>
      </c>
      <c r="O3" s="21" t="s">
        <v>500</v>
      </c>
      <c r="P3" s="21"/>
    </row>
    <row r="4" spans="3:16" ht="12.75">
      <c r="C4" s="483"/>
      <c r="D4" s="483"/>
      <c r="E4" s="483"/>
      <c r="L4" s="21" t="s">
        <v>501</v>
      </c>
      <c r="O4" s="21" t="s">
        <v>501</v>
      </c>
      <c r="P4" s="21"/>
    </row>
    <row r="5" spans="3:5" ht="12.75">
      <c r="C5" s="483"/>
      <c r="D5" s="483"/>
      <c r="E5" s="483"/>
    </row>
    <row r="6" spans="3:5" ht="12.75">
      <c r="C6" s="483"/>
      <c r="D6" s="483"/>
      <c r="E6" s="483"/>
    </row>
    <row r="7" spans="3:5" ht="12.75">
      <c r="C7" s="483"/>
      <c r="D7" s="483"/>
      <c r="E7" s="483"/>
    </row>
    <row r="8" spans="3:5" ht="12.75">
      <c r="C8" s="483"/>
      <c r="D8" s="483"/>
      <c r="E8" s="483"/>
    </row>
    <row r="9" spans="3:5" ht="12.75">
      <c r="C9" s="483"/>
      <c r="D9" s="483"/>
      <c r="E9" s="487" t="s">
        <v>995</v>
      </c>
    </row>
    <row r="10" spans="3:5" ht="12.75">
      <c r="C10" s="483"/>
      <c r="D10" s="483"/>
      <c r="E10" s="483"/>
    </row>
    <row r="11" spans="1:17" ht="36.75" customHeight="1">
      <c r="A11" s="790" t="s">
        <v>261</v>
      </c>
      <c r="B11" s="790"/>
      <c r="C11" s="790"/>
      <c r="D11" s="790"/>
      <c r="E11" s="790"/>
      <c r="F11" s="790"/>
      <c r="G11" s="790" t="s">
        <v>230</v>
      </c>
      <c r="H11" s="790" t="s">
        <v>472</v>
      </c>
      <c r="I11" s="790"/>
      <c r="J11" s="790"/>
      <c r="K11" s="790"/>
      <c r="L11" s="791" t="s">
        <v>81</v>
      </c>
      <c r="M11" s="790" t="s">
        <v>930</v>
      </c>
      <c r="N11" s="790" t="s">
        <v>935</v>
      </c>
      <c r="O11" s="735" t="s">
        <v>1023</v>
      </c>
      <c r="P11" s="735" t="s">
        <v>1024</v>
      </c>
      <c r="Q11" s="792" t="s">
        <v>1018</v>
      </c>
    </row>
    <row r="12" spans="1:17" s="314" customFormat="1" ht="29.25" customHeight="1">
      <c r="A12" s="790"/>
      <c r="B12" s="790"/>
      <c r="C12" s="790"/>
      <c r="D12" s="790"/>
      <c r="E12" s="790"/>
      <c r="F12" s="790"/>
      <c r="G12" s="790"/>
      <c r="H12" s="790" t="s">
        <v>231</v>
      </c>
      <c r="I12" s="790"/>
      <c r="J12" s="790"/>
      <c r="K12" s="485" t="s">
        <v>232</v>
      </c>
      <c r="L12" s="791"/>
      <c r="M12" s="790"/>
      <c r="N12" s="790"/>
      <c r="O12" s="789"/>
      <c r="P12" s="736"/>
      <c r="Q12" s="793"/>
    </row>
    <row r="13" spans="1:17" s="487" customFormat="1" ht="36.75" customHeight="1">
      <c r="A13" s="778" t="s">
        <v>233</v>
      </c>
      <c r="B13" s="778"/>
      <c r="C13" s="778"/>
      <c r="D13" s="778"/>
      <c r="E13" s="778"/>
      <c r="F13" s="778"/>
      <c r="G13" s="778"/>
      <c r="H13" s="758" t="s">
        <v>116</v>
      </c>
      <c r="I13" s="758"/>
      <c r="J13" s="758"/>
      <c r="K13" s="485"/>
      <c r="L13" s="546">
        <f>L14</f>
        <v>163260</v>
      </c>
      <c r="M13" s="531">
        <f>M14</f>
        <v>65530</v>
      </c>
      <c r="N13" s="547">
        <f>M13/L13</f>
        <v>0.40138429498958716</v>
      </c>
      <c r="O13" s="541">
        <f>O14</f>
        <v>135000</v>
      </c>
      <c r="P13" s="541">
        <f>P14</f>
        <v>140447.47999999998</v>
      </c>
      <c r="Q13" s="622">
        <f>P13/O13</f>
        <v>1.0403517037037036</v>
      </c>
    </row>
    <row r="14" spans="1:17" ht="31.5" customHeight="1">
      <c r="A14" s="488"/>
      <c r="B14" s="796" t="s">
        <v>209</v>
      </c>
      <c r="C14" s="796"/>
      <c r="D14" s="796"/>
      <c r="E14" s="796"/>
      <c r="F14" s="796"/>
      <c r="G14" s="796"/>
      <c r="H14" s="744" t="s">
        <v>115</v>
      </c>
      <c r="I14" s="744"/>
      <c r="J14" s="744"/>
      <c r="K14" s="508"/>
      <c r="L14" s="548">
        <f>SUM(L15:L18)</f>
        <v>163260</v>
      </c>
      <c r="M14" s="548">
        <f>SUM(M15:M18)</f>
        <v>65530</v>
      </c>
      <c r="N14" s="547">
        <f aca="true" t="shared" si="0" ref="N14:N75">M14/L14</f>
        <v>0.40138429498958716</v>
      </c>
      <c r="O14" s="539">
        <f>SUM(O15:O18)</f>
        <v>135000</v>
      </c>
      <c r="P14" s="539">
        <f>SUM(P15:P18)</f>
        <v>140447.47999999998</v>
      </c>
      <c r="Q14" s="622">
        <f aca="true" t="shared" si="1" ref="Q14:Q77">P14/O14</f>
        <v>1.0403517037037036</v>
      </c>
    </row>
    <row r="15" spans="1:17" s="487" customFormat="1" ht="71.25" customHeight="1">
      <c r="A15" s="499"/>
      <c r="B15" s="499"/>
      <c r="C15" s="549" t="s">
        <v>316</v>
      </c>
      <c r="D15" s="550"/>
      <c r="E15" s="768" t="s">
        <v>316</v>
      </c>
      <c r="F15" s="769"/>
      <c r="G15" s="551"/>
      <c r="H15" s="729" t="s">
        <v>117</v>
      </c>
      <c r="I15" s="729"/>
      <c r="J15" s="729"/>
      <c r="K15" s="552"/>
      <c r="L15" s="553">
        <v>161355</v>
      </c>
      <c r="M15" s="553">
        <v>63780.6</v>
      </c>
      <c r="N15" s="547">
        <f t="shared" si="0"/>
        <v>0.3952812122338942</v>
      </c>
      <c r="O15" s="535">
        <v>133095</v>
      </c>
      <c r="P15" s="535">
        <v>136994.09</v>
      </c>
      <c r="Q15" s="622">
        <f t="shared" si="1"/>
        <v>1.0292955407791426</v>
      </c>
    </row>
    <row r="16" spans="1:17" ht="89.25" customHeight="1">
      <c r="A16" s="488"/>
      <c r="B16" s="488"/>
      <c r="C16" s="488"/>
      <c r="D16" s="488"/>
      <c r="E16" s="765" t="s">
        <v>317</v>
      </c>
      <c r="F16" s="766"/>
      <c r="G16" s="219" t="s">
        <v>234</v>
      </c>
      <c r="H16" s="729" t="s">
        <v>118</v>
      </c>
      <c r="I16" s="729"/>
      <c r="J16" s="729"/>
      <c r="K16" s="513"/>
      <c r="L16" s="553">
        <v>875</v>
      </c>
      <c r="M16" s="554">
        <v>990.5</v>
      </c>
      <c r="N16" s="547">
        <f t="shared" si="0"/>
        <v>1.132</v>
      </c>
      <c r="O16" s="535">
        <v>875</v>
      </c>
      <c r="P16" s="535">
        <v>1526.26</v>
      </c>
      <c r="Q16" s="622">
        <f t="shared" si="1"/>
        <v>1.7442971428571428</v>
      </c>
    </row>
    <row r="17" spans="1:17" ht="39.75" customHeight="1">
      <c r="A17" s="488"/>
      <c r="B17" s="488"/>
      <c r="C17" s="488"/>
      <c r="D17" s="488"/>
      <c r="E17" s="765" t="s">
        <v>318</v>
      </c>
      <c r="F17" s="766"/>
      <c r="G17" s="219" t="s">
        <v>234</v>
      </c>
      <c r="H17" s="729" t="s">
        <v>119</v>
      </c>
      <c r="I17" s="729"/>
      <c r="J17" s="729"/>
      <c r="K17" s="513"/>
      <c r="L17" s="553">
        <v>760</v>
      </c>
      <c r="M17" s="554">
        <v>409.8</v>
      </c>
      <c r="N17" s="547">
        <f t="shared" si="0"/>
        <v>0.5392105263157895</v>
      </c>
      <c r="O17" s="535">
        <v>760</v>
      </c>
      <c r="P17" s="535">
        <v>1252.52</v>
      </c>
      <c r="Q17" s="622">
        <f t="shared" si="1"/>
        <v>1.6480526315789474</v>
      </c>
    </row>
    <row r="18" spans="1:17" ht="78.75" customHeight="1">
      <c r="A18" s="488"/>
      <c r="B18" s="488"/>
      <c r="C18" s="488"/>
      <c r="D18" s="488"/>
      <c r="E18" s="722" t="s">
        <v>120</v>
      </c>
      <c r="F18" s="723"/>
      <c r="G18" s="219" t="s">
        <v>234</v>
      </c>
      <c r="H18" s="729" t="s">
        <v>127</v>
      </c>
      <c r="I18" s="729"/>
      <c r="J18" s="729"/>
      <c r="K18" s="513"/>
      <c r="L18" s="553">
        <v>270</v>
      </c>
      <c r="M18" s="554">
        <v>349.1</v>
      </c>
      <c r="N18" s="547">
        <f t="shared" si="0"/>
        <v>1.292962962962963</v>
      </c>
      <c r="O18" s="535">
        <v>270</v>
      </c>
      <c r="P18" s="535">
        <v>674.61</v>
      </c>
      <c r="Q18" s="622">
        <f t="shared" si="1"/>
        <v>2.4985555555555554</v>
      </c>
    </row>
    <row r="19" spans="1:17" ht="19.5" customHeight="1">
      <c r="A19" s="488"/>
      <c r="B19" s="488"/>
      <c r="C19" s="488"/>
      <c r="D19" s="488"/>
      <c r="E19" s="794" t="s">
        <v>925</v>
      </c>
      <c r="F19" s="795"/>
      <c r="G19" s="551">
        <v>182</v>
      </c>
      <c r="H19" s="797" t="s">
        <v>928</v>
      </c>
      <c r="I19" s="798"/>
      <c r="J19" s="799"/>
      <c r="K19" s="555"/>
      <c r="L19" s="556">
        <f>L20</f>
        <v>6048.57</v>
      </c>
      <c r="M19" s="556">
        <f>M20</f>
        <v>3132.5</v>
      </c>
      <c r="N19" s="547">
        <f t="shared" si="0"/>
        <v>0.5178910056426561</v>
      </c>
      <c r="O19" s="557">
        <f>O20</f>
        <v>6049</v>
      </c>
      <c r="P19" s="557">
        <f>P20</f>
        <v>6465.09</v>
      </c>
      <c r="Q19" s="622">
        <f t="shared" si="1"/>
        <v>1.0687865762936022</v>
      </c>
    </row>
    <row r="20" spans="1:17" ht="15" customHeight="1">
      <c r="A20" s="488"/>
      <c r="B20" s="488"/>
      <c r="C20" s="488"/>
      <c r="D20" s="488"/>
      <c r="E20" s="768" t="s">
        <v>926</v>
      </c>
      <c r="F20" s="769"/>
      <c r="G20" s="219">
        <v>182</v>
      </c>
      <c r="H20" s="797" t="s">
        <v>927</v>
      </c>
      <c r="I20" s="798"/>
      <c r="J20" s="799"/>
      <c r="K20" s="513"/>
      <c r="L20" s="512">
        <f>3524+2524.57</f>
        <v>6048.57</v>
      </c>
      <c r="M20" s="554">
        <v>3132.5</v>
      </c>
      <c r="N20" s="547">
        <f t="shared" si="0"/>
        <v>0.5178910056426561</v>
      </c>
      <c r="O20" s="535">
        <v>6049</v>
      </c>
      <c r="P20" s="535">
        <v>6465.09</v>
      </c>
      <c r="Q20" s="622">
        <f t="shared" si="1"/>
        <v>1.0687865762936022</v>
      </c>
    </row>
    <row r="21" spans="1:17" s="487" customFormat="1" ht="18.75" customHeight="1">
      <c r="A21" s="778" t="s">
        <v>235</v>
      </c>
      <c r="B21" s="778"/>
      <c r="C21" s="778"/>
      <c r="D21" s="778"/>
      <c r="E21" s="778"/>
      <c r="F21" s="778"/>
      <c r="G21" s="778"/>
      <c r="H21" s="758" t="s">
        <v>128</v>
      </c>
      <c r="I21" s="758"/>
      <c r="J21" s="758"/>
      <c r="K21" s="485"/>
      <c r="L21" s="531">
        <f>L22+L26+L27</f>
        <v>13800</v>
      </c>
      <c r="M21" s="531">
        <f>M22+M26+M27</f>
        <v>8662</v>
      </c>
      <c r="N21" s="547">
        <f t="shared" si="0"/>
        <v>0.6276811594202899</v>
      </c>
      <c r="O21" s="541">
        <f>O22+O26+O27</f>
        <v>15816</v>
      </c>
      <c r="P21" s="541">
        <f>P22+P26+P27</f>
        <v>15371.460000000001</v>
      </c>
      <c r="Q21" s="622">
        <f t="shared" si="1"/>
        <v>0.9718930197268589</v>
      </c>
    </row>
    <row r="22" spans="1:17" ht="30.75" customHeight="1">
      <c r="A22" s="488"/>
      <c r="B22" s="743" t="s">
        <v>236</v>
      </c>
      <c r="C22" s="743"/>
      <c r="D22" s="743"/>
      <c r="E22" s="743"/>
      <c r="F22" s="743"/>
      <c r="G22" s="743"/>
      <c r="H22" s="744" t="s">
        <v>129</v>
      </c>
      <c r="I22" s="744"/>
      <c r="J22" s="744"/>
      <c r="K22" s="508"/>
      <c r="L22" s="511">
        <f>L23+L24+L25</f>
        <v>4000</v>
      </c>
      <c r="M22" s="511">
        <f>M23+M24+M25</f>
        <v>2680.8</v>
      </c>
      <c r="N22" s="547">
        <f t="shared" si="0"/>
        <v>0.6702</v>
      </c>
      <c r="O22" s="536">
        <f>O23+O24+O25</f>
        <v>4000</v>
      </c>
      <c r="P22" s="536">
        <f>P23+P24+P25</f>
        <v>3774.1600000000003</v>
      </c>
      <c r="Q22" s="622">
        <f t="shared" si="1"/>
        <v>0.94354</v>
      </c>
    </row>
    <row r="23" spans="1:17" ht="27" customHeight="1">
      <c r="A23" s="488"/>
      <c r="B23" s="488"/>
      <c r="C23" s="488"/>
      <c r="D23" s="488"/>
      <c r="E23" s="730" t="s">
        <v>121</v>
      </c>
      <c r="F23" s="731"/>
      <c r="G23" s="219" t="s">
        <v>234</v>
      </c>
      <c r="H23" s="718" t="s">
        <v>122</v>
      </c>
      <c r="I23" s="718"/>
      <c r="J23" s="718"/>
      <c r="K23" s="513"/>
      <c r="L23" s="514">
        <f>2834-595</f>
        <v>2239</v>
      </c>
      <c r="M23" s="514">
        <v>1512.5</v>
      </c>
      <c r="N23" s="547">
        <f t="shared" si="0"/>
        <v>0.6755247878517195</v>
      </c>
      <c r="O23" s="535">
        <v>2239</v>
      </c>
      <c r="P23" s="535">
        <v>2204.86</v>
      </c>
      <c r="Q23" s="622">
        <f t="shared" si="1"/>
        <v>0.9847521214828049</v>
      </c>
    </row>
    <row r="24" spans="1:17" ht="40.5" customHeight="1">
      <c r="A24" s="488"/>
      <c r="B24" s="488"/>
      <c r="C24" s="488"/>
      <c r="D24" s="488"/>
      <c r="E24" s="730" t="s">
        <v>1002</v>
      </c>
      <c r="F24" s="731"/>
      <c r="G24" s="219" t="s">
        <v>234</v>
      </c>
      <c r="H24" s="718" t="s">
        <v>123</v>
      </c>
      <c r="I24" s="718"/>
      <c r="J24" s="718"/>
      <c r="K24" s="513"/>
      <c r="L24" s="514">
        <v>910</v>
      </c>
      <c r="M24" s="514">
        <v>726</v>
      </c>
      <c r="N24" s="547">
        <f t="shared" si="0"/>
        <v>0.7978021978021979</v>
      </c>
      <c r="O24" s="535">
        <v>910</v>
      </c>
      <c r="P24" s="535">
        <v>1075.13</v>
      </c>
      <c r="Q24" s="622">
        <f t="shared" si="1"/>
        <v>1.1814615384615386</v>
      </c>
    </row>
    <row r="25" spans="1:17" ht="27.75" customHeight="1">
      <c r="A25" s="488"/>
      <c r="B25" s="488"/>
      <c r="C25" s="488"/>
      <c r="D25" s="488"/>
      <c r="E25" s="730" t="s">
        <v>125</v>
      </c>
      <c r="F25" s="731"/>
      <c r="G25" s="219">
        <v>182</v>
      </c>
      <c r="H25" s="718" t="s">
        <v>126</v>
      </c>
      <c r="I25" s="718"/>
      <c r="J25" s="718"/>
      <c r="K25" s="513"/>
      <c r="L25" s="514">
        <v>851</v>
      </c>
      <c r="M25" s="514">
        <v>442.3</v>
      </c>
      <c r="N25" s="547">
        <f t="shared" si="0"/>
        <v>0.5197414806110459</v>
      </c>
      <c r="O25" s="535">
        <v>851</v>
      </c>
      <c r="P25" s="535">
        <v>494.17</v>
      </c>
      <c r="Q25" s="622">
        <f t="shared" si="1"/>
        <v>0.5806933019976498</v>
      </c>
    </row>
    <row r="26" spans="1:17" ht="27" customHeight="1">
      <c r="A26" s="488"/>
      <c r="B26" s="488"/>
      <c r="C26" s="488"/>
      <c r="D26" s="488"/>
      <c r="E26" s="730" t="s">
        <v>210</v>
      </c>
      <c r="F26" s="731"/>
      <c r="G26" s="219" t="s">
        <v>234</v>
      </c>
      <c r="H26" s="718" t="s">
        <v>130</v>
      </c>
      <c r="I26" s="718"/>
      <c r="J26" s="718"/>
      <c r="K26" s="513"/>
      <c r="L26" s="514">
        <v>8000</v>
      </c>
      <c r="M26" s="514">
        <v>4041</v>
      </c>
      <c r="N26" s="547">
        <f t="shared" si="0"/>
        <v>0.505125</v>
      </c>
      <c r="O26" s="535">
        <v>9316</v>
      </c>
      <c r="P26" s="535">
        <v>9204.28</v>
      </c>
      <c r="Q26" s="622">
        <f t="shared" si="1"/>
        <v>0.9880077286389009</v>
      </c>
    </row>
    <row r="27" spans="1:17" ht="15.75" customHeight="1">
      <c r="A27" s="488"/>
      <c r="B27" s="488"/>
      <c r="C27" s="488"/>
      <c r="D27" s="488"/>
      <c r="E27" s="730" t="s">
        <v>208</v>
      </c>
      <c r="F27" s="731"/>
      <c r="G27" s="219" t="s">
        <v>234</v>
      </c>
      <c r="H27" s="718" t="s">
        <v>58</v>
      </c>
      <c r="I27" s="718"/>
      <c r="J27" s="718"/>
      <c r="K27" s="513"/>
      <c r="L27" s="514">
        <v>1800</v>
      </c>
      <c r="M27" s="514">
        <v>1940.2</v>
      </c>
      <c r="N27" s="547">
        <f t="shared" si="0"/>
        <v>1.077888888888889</v>
      </c>
      <c r="O27" s="535">
        <v>2500</v>
      </c>
      <c r="P27" s="535">
        <v>2393.02</v>
      </c>
      <c r="Q27" s="622">
        <f t="shared" si="1"/>
        <v>0.957208</v>
      </c>
    </row>
    <row r="28" spans="1:17" s="487" customFormat="1" ht="25.5" customHeight="1">
      <c r="A28" s="778" t="s">
        <v>237</v>
      </c>
      <c r="B28" s="778"/>
      <c r="C28" s="778"/>
      <c r="D28" s="778"/>
      <c r="E28" s="778"/>
      <c r="F28" s="778"/>
      <c r="G28" s="778"/>
      <c r="H28" s="758" t="s">
        <v>238</v>
      </c>
      <c r="I28" s="758"/>
      <c r="J28" s="758"/>
      <c r="K28" s="485"/>
      <c r="L28" s="531">
        <f aca="true" t="shared" si="2" ref="L28:P29">L29</f>
        <v>3500</v>
      </c>
      <c r="M28" s="531">
        <f t="shared" si="2"/>
        <v>1945.6</v>
      </c>
      <c r="N28" s="547">
        <f t="shared" si="0"/>
        <v>0.5558857142857142</v>
      </c>
      <c r="O28" s="541">
        <f t="shared" si="2"/>
        <v>4900</v>
      </c>
      <c r="P28" s="541">
        <f t="shared" si="2"/>
        <v>4751.28</v>
      </c>
      <c r="Q28" s="622">
        <f t="shared" si="1"/>
        <v>0.9696489795918367</v>
      </c>
    </row>
    <row r="29" spans="1:17" ht="31.5" customHeight="1">
      <c r="A29" s="488"/>
      <c r="B29" s="796" t="s">
        <v>454</v>
      </c>
      <c r="C29" s="796"/>
      <c r="D29" s="796"/>
      <c r="E29" s="796"/>
      <c r="F29" s="796"/>
      <c r="G29" s="796"/>
      <c r="H29" s="744" t="s">
        <v>133</v>
      </c>
      <c r="I29" s="744"/>
      <c r="J29" s="744"/>
      <c r="K29" s="508"/>
      <c r="L29" s="511">
        <f t="shared" si="2"/>
        <v>3500</v>
      </c>
      <c r="M29" s="511">
        <f t="shared" si="2"/>
        <v>1945.6</v>
      </c>
      <c r="N29" s="511">
        <f t="shared" si="2"/>
        <v>0.5558857142857142</v>
      </c>
      <c r="O29" s="536">
        <v>4900</v>
      </c>
      <c r="P29" s="536">
        <v>4751.28</v>
      </c>
      <c r="Q29" s="622">
        <f t="shared" si="1"/>
        <v>0.9696489795918367</v>
      </c>
    </row>
    <row r="30" spans="1:17" ht="45" customHeight="1">
      <c r="A30" s="488"/>
      <c r="B30" s="488"/>
      <c r="C30" s="488"/>
      <c r="D30" s="488"/>
      <c r="E30" s="730" t="s">
        <v>132</v>
      </c>
      <c r="F30" s="731"/>
      <c r="G30" s="219" t="s">
        <v>234</v>
      </c>
      <c r="H30" s="718" t="s">
        <v>131</v>
      </c>
      <c r="I30" s="718"/>
      <c r="J30" s="718"/>
      <c r="K30" s="513"/>
      <c r="L30" s="515">
        <v>3500</v>
      </c>
      <c r="M30" s="515">
        <v>1945.6</v>
      </c>
      <c r="N30" s="547">
        <f t="shared" si="0"/>
        <v>0.5558857142857142</v>
      </c>
      <c r="O30" s="535">
        <v>4900</v>
      </c>
      <c r="P30" s="535">
        <v>4751.28</v>
      </c>
      <c r="Q30" s="622">
        <f t="shared" si="1"/>
        <v>0.9696489795918367</v>
      </c>
    </row>
    <row r="31" spans="1:17" ht="22.5" customHeight="1" hidden="1">
      <c r="A31" s="488"/>
      <c r="B31" s="488"/>
      <c r="C31" s="488"/>
      <c r="D31" s="488"/>
      <c r="E31" s="782" t="s">
        <v>384</v>
      </c>
      <c r="F31" s="783"/>
      <c r="G31" s="489"/>
      <c r="H31" s="784">
        <v>10900000000000</v>
      </c>
      <c r="I31" s="784"/>
      <c r="J31" s="784"/>
      <c r="K31" s="516"/>
      <c r="L31" s="517">
        <f>L32</f>
        <v>0</v>
      </c>
      <c r="M31" s="517"/>
      <c r="N31" s="547" t="e">
        <f t="shared" si="0"/>
        <v>#DIV/0!</v>
      </c>
      <c r="O31" s="537"/>
      <c r="P31" s="537"/>
      <c r="Q31" s="622" t="e">
        <f t="shared" si="1"/>
        <v>#DIV/0!</v>
      </c>
    </row>
    <row r="32" spans="1:17" ht="20.25" customHeight="1" hidden="1">
      <c r="A32" s="488"/>
      <c r="B32" s="488"/>
      <c r="C32" s="488"/>
      <c r="D32" s="488"/>
      <c r="E32" s="785" t="s">
        <v>384</v>
      </c>
      <c r="F32" s="786"/>
      <c r="G32" s="490"/>
      <c r="H32" s="777">
        <v>10900000000000</v>
      </c>
      <c r="I32" s="777"/>
      <c r="J32" s="777"/>
      <c r="K32" s="518"/>
      <c r="L32" s="519"/>
      <c r="M32" s="519"/>
      <c r="N32" s="547" t="e">
        <f t="shared" si="0"/>
        <v>#DIV/0!</v>
      </c>
      <c r="O32" s="535"/>
      <c r="P32" s="535"/>
      <c r="Q32" s="622" t="e">
        <f t="shared" si="1"/>
        <v>#DIV/0!</v>
      </c>
    </row>
    <row r="33" spans="1:17" s="487" customFormat="1" ht="50.25" customHeight="1">
      <c r="A33" s="773" t="s">
        <v>135</v>
      </c>
      <c r="B33" s="774"/>
      <c r="C33" s="774"/>
      <c r="D33" s="774"/>
      <c r="E33" s="774"/>
      <c r="F33" s="774"/>
      <c r="G33" s="775"/>
      <c r="H33" s="758" t="s">
        <v>134</v>
      </c>
      <c r="I33" s="758"/>
      <c r="J33" s="758"/>
      <c r="K33" s="485"/>
      <c r="L33" s="531">
        <f>L34</f>
        <v>40382</v>
      </c>
      <c r="M33" s="531">
        <f>M34</f>
        <v>11699.7</v>
      </c>
      <c r="N33" s="547">
        <f t="shared" si="0"/>
        <v>0.2897256203258878</v>
      </c>
      <c r="O33" s="541">
        <f>O34</f>
        <v>30783</v>
      </c>
      <c r="P33" s="541">
        <f>P34</f>
        <v>30336.71</v>
      </c>
      <c r="Q33" s="622">
        <f t="shared" si="1"/>
        <v>0.9855020628268849</v>
      </c>
    </row>
    <row r="34" spans="1:17" s="492" customFormat="1" ht="78.75" customHeight="1">
      <c r="A34" s="491"/>
      <c r="B34" s="491"/>
      <c r="C34" s="491"/>
      <c r="D34" s="491"/>
      <c r="E34" s="787" t="s">
        <v>319</v>
      </c>
      <c r="F34" s="788"/>
      <c r="G34" s="494">
        <v>300</v>
      </c>
      <c r="H34" s="744" t="s">
        <v>136</v>
      </c>
      <c r="I34" s="744"/>
      <c r="J34" s="744"/>
      <c r="K34" s="520"/>
      <c r="L34" s="521">
        <f>L35+L36+L37</f>
        <v>40382</v>
      </c>
      <c r="M34" s="521">
        <f>M35+M36+M37</f>
        <v>11699.7</v>
      </c>
      <c r="N34" s="547">
        <f t="shared" si="0"/>
        <v>0.2897256203258878</v>
      </c>
      <c r="O34" s="538">
        <f>O35+O36+O37</f>
        <v>30783</v>
      </c>
      <c r="P34" s="538">
        <f>P35+P36+P37</f>
        <v>30336.71</v>
      </c>
      <c r="Q34" s="622">
        <f t="shared" si="1"/>
        <v>0.9855020628268849</v>
      </c>
    </row>
    <row r="35" spans="1:17" ht="52.5" customHeight="1">
      <c r="A35" s="488"/>
      <c r="B35" s="730" t="s">
        <v>137</v>
      </c>
      <c r="C35" s="745"/>
      <c r="D35" s="745"/>
      <c r="E35" s="745"/>
      <c r="F35" s="745"/>
      <c r="G35" s="731"/>
      <c r="H35" s="744" t="s">
        <v>138</v>
      </c>
      <c r="I35" s="744"/>
      <c r="J35" s="744"/>
      <c r="K35" s="508"/>
      <c r="L35" s="511">
        <v>26000</v>
      </c>
      <c r="M35" s="511">
        <v>5944.2</v>
      </c>
      <c r="N35" s="547">
        <f t="shared" si="0"/>
        <v>0.22862307692307693</v>
      </c>
      <c r="O35" s="535">
        <v>19000</v>
      </c>
      <c r="P35" s="535">
        <v>18583.63</v>
      </c>
      <c r="Q35" s="622">
        <f t="shared" si="1"/>
        <v>0.9780857894736843</v>
      </c>
    </row>
    <row r="36" spans="1:17" s="487" customFormat="1" ht="47.25" customHeight="1">
      <c r="A36" s="499"/>
      <c r="B36" s="499"/>
      <c r="C36" s="779" t="s">
        <v>358</v>
      </c>
      <c r="D36" s="780"/>
      <c r="E36" s="780"/>
      <c r="F36" s="780"/>
      <c r="G36" s="781"/>
      <c r="H36" s="729" t="s">
        <v>139</v>
      </c>
      <c r="I36" s="729"/>
      <c r="J36" s="729"/>
      <c r="K36" s="552"/>
      <c r="L36" s="558">
        <v>10500</v>
      </c>
      <c r="M36" s="558">
        <v>5224.5</v>
      </c>
      <c r="N36" s="547">
        <f t="shared" si="0"/>
        <v>0.49757142857142855</v>
      </c>
      <c r="O36" s="535">
        <v>10483</v>
      </c>
      <c r="P36" s="535">
        <v>10479.14</v>
      </c>
      <c r="Q36" s="622">
        <f t="shared" si="1"/>
        <v>0.999631784794429</v>
      </c>
    </row>
    <row r="37" spans="1:17" s="487" customFormat="1" ht="62.25" customHeight="1">
      <c r="A37" s="499"/>
      <c r="B37" s="499"/>
      <c r="C37" s="779" t="s">
        <v>435</v>
      </c>
      <c r="D37" s="780"/>
      <c r="E37" s="780"/>
      <c r="F37" s="780"/>
      <c r="G37" s="781"/>
      <c r="H37" s="729" t="s">
        <v>140</v>
      </c>
      <c r="I37" s="729"/>
      <c r="J37" s="729"/>
      <c r="K37" s="552"/>
      <c r="L37" s="558">
        <f>L38</f>
        <v>3882</v>
      </c>
      <c r="M37" s="558">
        <f>M38</f>
        <v>531</v>
      </c>
      <c r="N37" s="558">
        <f>N38</f>
        <v>0.1367851622874807</v>
      </c>
      <c r="O37" s="557">
        <f>O38</f>
        <v>1300</v>
      </c>
      <c r="P37" s="557">
        <f>P38</f>
        <v>1273.94</v>
      </c>
      <c r="Q37" s="622">
        <f t="shared" si="1"/>
        <v>0.9799538461538462</v>
      </c>
    </row>
    <row r="38" spans="1:17" ht="43.5" customHeight="1">
      <c r="A38" s="488"/>
      <c r="B38" s="488"/>
      <c r="C38" s="488"/>
      <c r="D38" s="488"/>
      <c r="E38" s="730" t="s">
        <v>178</v>
      </c>
      <c r="F38" s="731"/>
      <c r="G38" s="219" t="s">
        <v>514</v>
      </c>
      <c r="H38" s="718" t="s">
        <v>141</v>
      </c>
      <c r="I38" s="718"/>
      <c r="J38" s="718"/>
      <c r="K38" s="513"/>
      <c r="L38" s="514">
        <f>1941*2</f>
        <v>3882</v>
      </c>
      <c r="M38" s="514">
        <v>531</v>
      </c>
      <c r="N38" s="547">
        <f t="shared" si="0"/>
        <v>0.1367851622874807</v>
      </c>
      <c r="O38" s="535">
        <v>1300</v>
      </c>
      <c r="P38" s="557">
        <v>1273.94</v>
      </c>
      <c r="Q38" s="622">
        <f t="shared" si="1"/>
        <v>0.9799538461538462</v>
      </c>
    </row>
    <row r="39" spans="1:17" s="487" customFormat="1" ht="33" customHeight="1">
      <c r="A39" s="778" t="s">
        <v>240</v>
      </c>
      <c r="B39" s="778"/>
      <c r="C39" s="778"/>
      <c r="D39" s="778"/>
      <c r="E39" s="778"/>
      <c r="F39" s="778"/>
      <c r="G39" s="778"/>
      <c r="H39" s="758" t="s">
        <v>142</v>
      </c>
      <c r="I39" s="758"/>
      <c r="J39" s="758"/>
      <c r="K39" s="485"/>
      <c r="L39" s="531">
        <f>L40</f>
        <v>1500</v>
      </c>
      <c r="M39" s="531">
        <f>M40</f>
        <v>257.4</v>
      </c>
      <c r="N39" s="547">
        <f t="shared" si="0"/>
        <v>0.17159999999999997</v>
      </c>
      <c r="O39" s="541">
        <f>O40</f>
        <v>600</v>
      </c>
      <c r="P39" s="541">
        <f>P40</f>
        <v>598.33</v>
      </c>
      <c r="Q39" s="622">
        <f t="shared" si="1"/>
        <v>0.9972166666666668</v>
      </c>
    </row>
    <row r="40" spans="1:17" ht="23.25" customHeight="1">
      <c r="A40" s="488"/>
      <c r="B40" s="488"/>
      <c r="C40" s="488"/>
      <c r="D40" s="488"/>
      <c r="E40" s="730" t="s">
        <v>146</v>
      </c>
      <c r="F40" s="731"/>
      <c r="G40" s="219" t="s">
        <v>241</v>
      </c>
      <c r="H40" s="718" t="s">
        <v>143</v>
      </c>
      <c r="I40" s="718"/>
      <c r="J40" s="718"/>
      <c r="K40" s="513"/>
      <c r="L40" s="519">
        <v>1500</v>
      </c>
      <c r="M40" s="519">
        <v>257.4</v>
      </c>
      <c r="N40" s="547">
        <f t="shared" si="0"/>
        <v>0.17159999999999997</v>
      </c>
      <c r="O40" s="535">
        <v>600</v>
      </c>
      <c r="P40" s="535">
        <v>598.33</v>
      </c>
      <c r="Q40" s="622">
        <f t="shared" si="1"/>
        <v>0.9972166666666668</v>
      </c>
    </row>
    <row r="41" spans="1:17" s="487" customFormat="1" ht="30.75" customHeight="1">
      <c r="A41" s="773" t="s">
        <v>490</v>
      </c>
      <c r="B41" s="774"/>
      <c r="C41" s="774"/>
      <c r="D41" s="774"/>
      <c r="E41" s="774"/>
      <c r="F41" s="774"/>
      <c r="G41" s="775"/>
      <c r="H41" s="758" t="s">
        <v>1</v>
      </c>
      <c r="I41" s="758"/>
      <c r="J41" s="758"/>
      <c r="K41" s="485"/>
      <c r="L41" s="531">
        <f>L42</f>
        <v>6700</v>
      </c>
      <c r="M41" s="531">
        <f>M42</f>
        <v>2977.9</v>
      </c>
      <c r="N41" s="547">
        <f t="shared" si="0"/>
        <v>0.4444626865671642</v>
      </c>
      <c r="O41" s="541">
        <f>O42</f>
        <v>12800</v>
      </c>
      <c r="P41" s="541">
        <f>P42</f>
        <v>13496.95</v>
      </c>
      <c r="Q41" s="622">
        <f t="shared" si="1"/>
        <v>1.05444921875</v>
      </c>
    </row>
    <row r="42" spans="1:17" ht="29.25" customHeight="1">
      <c r="A42" s="488"/>
      <c r="B42" s="730" t="s">
        <v>144</v>
      </c>
      <c r="C42" s="745"/>
      <c r="D42" s="745"/>
      <c r="E42" s="745"/>
      <c r="F42" s="745"/>
      <c r="G42" s="731"/>
      <c r="H42" s="744" t="s">
        <v>0</v>
      </c>
      <c r="I42" s="744"/>
      <c r="J42" s="744"/>
      <c r="K42" s="508"/>
      <c r="L42" s="522">
        <v>6700</v>
      </c>
      <c r="M42" s="522">
        <v>2977.9</v>
      </c>
      <c r="N42" s="547">
        <f t="shared" si="0"/>
        <v>0.4444626865671642</v>
      </c>
      <c r="O42" s="535">
        <v>12800</v>
      </c>
      <c r="P42" s="535">
        <v>13496.95</v>
      </c>
      <c r="Q42" s="622">
        <f t="shared" si="1"/>
        <v>1.05444921875</v>
      </c>
    </row>
    <row r="43" spans="1:17" s="487" customFormat="1" ht="37.5" customHeight="1">
      <c r="A43" s="773" t="s">
        <v>330</v>
      </c>
      <c r="B43" s="774"/>
      <c r="C43" s="774"/>
      <c r="D43" s="774"/>
      <c r="E43" s="774"/>
      <c r="F43" s="774"/>
      <c r="G43" s="775"/>
      <c r="H43" s="758" t="s">
        <v>3</v>
      </c>
      <c r="I43" s="758"/>
      <c r="J43" s="758"/>
      <c r="K43" s="485"/>
      <c r="L43" s="531">
        <f>L44+L46</f>
        <v>11500</v>
      </c>
      <c r="M43" s="531">
        <f>M44+M46</f>
        <v>1648</v>
      </c>
      <c r="N43" s="547">
        <f t="shared" si="0"/>
        <v>0.14330434782608695</v>
      </c>
      <c r="O43" s="541">
        <f>O44+O46</f>
        <v>10950</v>
      </c>
      <c r="P43" s="541">
        <f>P44+P46</f>
        <v>10102.55</v>
      </c>
      <c r="Q43" s="622">
        <f t="shared" si="1"/>
        <v>0.922607305936073</v>
      </c>
    </row>
    <row r="44" spans="1:17" s="487" customFormat="1" ht="97.5" customHeight="1" hidden="1">
      <c r="A44" s="493"/>
      <c r="B44" s="493"/>
      <c r="C44" s="493"/>
      <c r="D44" s="493"/>
      <c r="E44" s="776" t="s">
        <v>2</v>
      </c>
      <c r="F44" s="776"/>
      <c r="G44" s="776"/>
      <c r="H44" s="777" t="s">
        <v>4</v>
      </c>
      <c r="I44" s="777"/>
      <c r="J44" s="777"/>
      <c r="K44" s="523"/>
      <c r="L44" s="515"/>
      <c r="M44" s="521">
        <v>587.7</v>
      </c>
      <c r="N44" s="547" t="e">
        <f t="shared" si="0"/>
        <v>#DIV/0!</v>
      </c>
      <c r="O44" s="535"/>
      <c r="P44" s="535"/>
      <c r="Q44" s="622" t="e">
        <f t="shared" si="1"/>
        <v>#DIV/0!</v>
      </c>
    </row>
    <row r="45" spans="1:17" s="487" customFormat="1" ht="5.25" customHeight="1" hidden="1">
      <c r="A45" s="493"/>
      <c r="B45" s="493"/>
      <c r="C45" s="493"/>
      <c r="D45" s="493"/>
      <c r="E45" s="776" t="s">
        <v>172</v>
      </c>
      <c r="F45" s="776"/>
      <c r="G45" s="776"/>
      <c r="H45" s="777">
        <v>11402033000000</v>
      </c>
      <c r="I45" s="777"/>
      <c r="J45" s="777"/>
      <c r="K45" s="505">
        <v>410</v>
      </c>
      <c r="L45" s="524">
        <v>0</v>
      </c>
      <c r="M45" s="524">
        <v>0</v>
      </c>
      <c r="N45" s="547" t="e">
        <f t="shared" si="0"/>
        <v>#DIV/0!</v>
      </c>
      <c r="O45" s="535" t="e">
        <f>#REF!/#REF!</f>
        <v>#REF!</v>
      </c>
      <c r="P45" s="535"/>
      <c r="Q45" s="622" t="e">
        <f t="shared" si="1"/>
        <v>#REF!</v>
      </c>
    </row>
    <row r="46" spans="1:17" ht="26.25" customHeight="1">
      <c r="A46" s="488"/>
      <c r="B46" s="730" t="s">
        <v>6</v>
      </c>
      <c r="C46" s="745"/>
      <c r="D46" s="745"/>
      <c r="E46" s="745"/>
      <c r="F46" s="745"/>
      <c r="G46" s="731"/>
      <c r="H46" s="744" t="s">
        <v>5</v>
      </c>
      <c r="I46" s="744"/>
      <c r="J46" s="744"/>
      <c r="K46" s="508"/>
      <c r="L46" s="511">
        <f>L47</f>
        <v>11500</v>
      </c>
      <c r="M46" s="511">
        <f>M47</f>
        <v>1060.3</v>
      </c>
      <c r="N46" s="547">
        <f t="shared" si="0"/>
        <v>0.09219999999999999</v>
      </c>
      <c r="O46" s="536">
        <v>10950</v>
      </c>
      <c r="P46" s="536">
        <f>P47</f>
        <v>10102.55</v>
      </c>
      <c r="Q46" s="622">
        <f t="shared" si="1"/>
        <v>0.922607305936073</v>
      </c>
    </row>
    <row r="47" spans="1:17" ht="27" customHeight="1">
      <c r="A47" s="488"/>
      <c r="B47" s="506"/>
      <c r="C47" s="488"/>
      <c r="D47" s="488"/>
      <c r="E47" s="765" t="s">
        <v>8</v>
      </c>
      <c r="F47" s="766"/>
      <c r="G47" s="219" t="s">
        <v>239</v>
      </c>
      <c r="H47" s="729" t="s">
        <v>7</v>
      </c>
      <c r="I47" s="729"/>
      <c r="J47" s="729"/>
      <c r="K47" s="513"/>
      <c r="L47" s="525">
        <v>11500</v>
      </c>
      <c r="M47" s="525">
        <v>1060.3</v>
      </c>
      <c r="N47" s="547">
        <f t="shared" si="0"/>
        <v>0.09219999999999999</v>
      </c>
      <c r="O47" s="535">
        <v>10950</v>
      </c>
      <c r="P47" s="535">
        <v>10102.55</v>
      </c>
      <c r="Q47" s="622">
        <f t="shared" si="1"/>
        <v>0.922607305936073</v>
      </c>
    </row>
    <row r="48" spans="1:17" s="487" customFormat="1" ht="20.25" customHeight="1">
      <c r="A48" s="773" t="s">
        <v>331</v>
      </c>
      <c r="B48" s="774"/>
      <c r="C48" s="774"/>
      <c r="D48" s="774"/>
      <c r="E48" s="774"/>
      <c r="F48" s="774"/>
      <c r="G48" s="775"/>
      <c r="H48" s="758" t="s">
        <v>9</v>
      </c>
      <c r="I48" s="758"/>
      <c r="J48" s="758"/>
      <c r="K48" s="485"/>
      <c r="L48" s="531">
        <f>L49+L55+L64+L67+L79+L80+L83+L84+L85+L86</f>
        <v>3330</v>
      </c>
      <c r="M48" s="531" t="e">
        <f>M49+M55+M64+M67+M79+M80+M83+M84+M85+M86+#REF!+M63+#REF!+M66</f>
        <v>#REF!</v>
      </c>
      <c r="N48" s="547" t="e">
        <f t="shared" si="0"/>
        <v>#REF!</v>
      </c>
      <c r="O48" s="541">
        <f>O49+O55+O64+O67+O79+O80+O81+O84+O85+O86</f>
        <v>4300</v>
      </c>
      <c r="P48" s="541">
        <f>P49+P55+P64+P67+P79+P80+P81+P84+P85+P86</f>
        <v>4321.71</v>
      </c>
      <c r="Q48" s="622">
        <f t="shared" si="1"/>
        <v>1.0050488372093023</v>
      </c>
    </row>
    <row r="49" spans="1:17" ht="41.25" customHeight="1">
      <c r="A49" s="488"/>
      <c r="B49" s="730" t="s">
        <v>11</v>
      </c>
      <c r="C49" s="745"/>
      <c r="D49" s="745"/>
      <c r="E49" s="745"/>
      <c r="F49" s="745"/>
      <c r="G49" s="731"/>
      <c r="H49" s="744" t="s">
        <v>10</v>
      </c>
      <c r="I49" s="744"/>
      <c r="J49" s="744"/>
      <c r="K49" s="508"/>
      <c r="L49" s="522">
        <f>L50+L54</f>
        <v>2</v>
      </c>
      <c r="M49" s="522">
        <f>M50+M54</f>
        <v>32.1</v>
      </c>
      <c r="N49" s="547">
        <f t="shared" si="0"/>
        <v>16.05</v>
      </c>
      <c r="O49" s="539">
        <f>O50+O54</f>
        <v>2</v>
      </c>
      <c r="P49" s="539">
        <f>P50+P54</f>
        <v>55.95</v>
      </c>
      <c r="Q49" s="622">
        <f t="shared" si="1"/>
        <v>27.975</v>
      </c>
    </row>
    <row r="50" spans="1:17" ht="49.5" customHeight="1" hidden="1">
      <c r="A50" s="488"/>
      <c r="B50" s="488"/>
      <c r="C50" s="488"/>
      <c r="D50" s="488"/>
      <c r="E50" s="765" t="s">
        <v>12</v>
      </c>
      <c r="F50" s="766"/>
      <c r="G50" s="219" t="s">
        <v>234</v>
      </c>
      <c r="H50" s="718" t="s">
        <v>13</v>
      </c>
      <c r="I50" s="718"/>
      <c r="J50" s="718"/>
      <c r="K50" s="513"/>
      <c r="L50" s="514"/>
      <c r="M50" s="519"/>
      <c r="N50" s="547" t="e">
        <f t="shared" si="0"/>
        <v>#DIV/0!</v>
      </c>
      <c r="O50" s="540"/>
      <c r="P50" s="540"/>
      <c r="Q50" s="622" t="e">
        <f t="shared" si="1"/>
        <v>#DIV/0!</v>
      </c>
    </row>
    <row r="51" spans="1:17" ht="30" customHeight="1" hidden="1">
      <c r="A51" s="488"/>
      <c r="B51" s="488"/>
      <c r="C51" s="488"/>
      <c r="D51" s="488"/>
      <c r="E51" s="765" t="s">
        <v>333</v>
      </c>
      <c r="F51" s="766"/>
      <c r="G51" s="219" t="s">
        <v>234</v>
      </c>
      <c r="H51" s="718" t="s">
        <v>334</v>
      </c>
      <c r="I51" s="718"/>
      <c r="J51" s="718"/>
      <c r="K51" s="513" t="s">
        <v>332</v>
      </c>
      <c r="L51" s="514"/>
      <c r="M51" s="519"/>
      <c r="N51" s="547" t="e">
        <f t="shared" si="0"/>
        <v>#DIV/0!</v>
      </c>
      <c r="O51" s="540"/>
      <c r="P51" s="540"/>
      <c r="Q51" s="622" t="e">
        <f t="shared" si="1"/>
        <v>#DIV/0!</v>
      </c>
    </row>
    <row r="52" spans="1:17" ht="33" customHeight="1" hidden="1">
      <c r="A52" s="488"/>
      <c r="B52" s="743" t="s">
        <v>335</v>
      </c>
      <c r="C52" s="743"/>
      <c r="D52" s="743"/>
      <c r="E52" s="743"/>
      <c r="F52" s="743"/>
      <c r="G52" s="743"/>
      <c r="H52" s="744" t="s">
        <v>336</v>
      </c>
      <c r="I52" s="744"/>
      <c r="J52" s="744"/>
      <c r="K52" s="508"/>
      <c r="L52" s="522">
        <f>L53</f>
        <v>0</v>
      </c>
      <c r="M52" s="511">
        <f>M53</f>
        <v>0</v>
      </c>
      <c r="N52" s="547" t="e">
        <f t="shared" si="0"/>
        <v>#DIV/0!</v>
      </c>
      <c r="O52" s="539">
        <f>O53</f>
        <v>0</v>
      </c>
      <c r="P52" s="539"/>
      <c r="Q52" s="622" t="e">
        <f t="shared" si="1"/>
        <v>#DIV/0!</v>
      </c>
    </row>
    <row r="53" spans="1:17" ht="43.5" customHeight="1" hidden="1">
      <c r="A53" s="488"/>
      <c r="B53" s="488"/>
      <c r="C53" s="488"/>
      <c r="D53" s="488"/>
      <c r="E53" s="765" t="s">
        <v>338</v>
      </c>
      <c r="F53" s="766"/>
      <c r="G53" s="219" t="s">
        <v>514</v>
      </c>
      <c r="H53" s="718" t="s">
        <v>339</v>
      </c>
      <c r="I53" s="718"/>
      <c r="J53" s="718"/>
      <c r="K53" s="513" t="s">
        <v>332</v>
      </c>
      <c r="L53" s="514">
        <v>0</v>
      </c>
      <c r="M53" s="519">
        <v>0</v>
      </c>
      <c r="N53" s="547" t="e">
        <f t="shared" si="0"/>
        <v>#DIV/0!</v>
      </c>
      <c r="O53" s="540">
        <v>0</v>
      </c>
      <c r="P53" s="540"/>
      <c r="Q53" s="622" t="e">
        <f t="shared" si="1"/>
        <v>#DIV/0!</v>
      </c>
    </row>
    <row r="54" spans="1:17" ht="62.25" customHeight="1">
      <c r="A54" s="488"/>
      <c r="B54" s="488"/>
      <c r="C54" s="488"/>
      <c r="D54" s="488"/>
      <c r="E54" s="730" t="s">
        <v>14</v>
      </c>
      <c r="F54" s="731"/>
      <c r="G54" s="219" t="s">
        <v>234</v>
      </c>
      <c r="H54" s="718" t="s">
        <v>15</v>
      </c>
      <c r="I54" s="718"/>
      <c r="J54" s="718"/>
      <c r="K54" s="513"/>
      <c r="L54" s="514">
        <v>2</v>
      </c>
      <c r="M54" s="514">
        <v>32.1</v>
      </c>
      <c r="N54" s="547">
        <f t="shared" si="0"/>
        <v>16.05</v>
      </c>
      <c r="O54" s="540">
        <v>2</v>
      </c>
      <c r="P54" s="540">
        <v>55.95</v>
      </c>
      <c r="Q54" s="622">
        <f t="shared" si="1"/>
        <v>27.975</v>
      </c>
    </row>
    <row r="55" spans="1:17" ht="73.5" customHeight="1">
      <c r="A55" s="488"/>
      <c r="B55" s="730" t="s">
        <v>16</v>
      </c>
      <c r="C55" s="745"/>
      <c r="D55" s="745"/>
      <c r="E55" s="745"/>
      <c r="F55" s="745"/>
      <c r="G55" s="731"/>
      <c r="H55" s="744" t="s">
        <v>17</v>
      </c>
      <c r="I55" s="744"/>
      <c r="J55" s="744"/>
      <c r="K55" s="508"/>
      <c r="L55" s="515">
        <f>L56+L57+L58+L59+L60+L61+L62</f>
        <v>602</v>
      </c>
      <c r="M55" s="515">
        <f>M56+M57+M58+M59+M60+M61+M62</f>
        <v>451.5</v>
      </c>
      <c r="N55" s="547">
        <f t="shared" si="0"/>
        <v>0.75</v>
      </c>
      <c r="O55" s="535">
        <f>O56+O58+O61+O62</f>
        <v>602</v>
      </c>
      <c r="P55" s="535">
        <f>P56+P58+P61+P62</f>
        <v>876.78</v>
      </c>
      <c r="Q55" s="622">
        <f t="shared" si="1"/>
        <v>1.4564451827242524</v>
      </c>
    </row>
    <row r="56" spans="1:17" ht="42" customHeight="1">
      <c r="A56" s="488"/>
      <c r="B56" s="488"/>
      <c r="C56" s="488"/>
      <c r="D56" s="488"/>
      <c r="E56" s="730" t="s">
        <v>18</v>
      </c>
      <c r="F56" s="731"/>
      <c r="G56" s="219" t="s">
        <v>341</v>
      </c>
      <c r="H56" s="718" t="s">
        <v>114</v>
      </c>
      <c r="I56" s="718"/>
      <c r="J56" s="718"/>
      <c r="K56" s="513"/>
      <c r="L56" s="514">
        <v>47</v>
      </c>
      <c r="M56" s="514">
        <v>77</v>
      </c>
      <c r="N56" s="547">
        <f t="shared" si="0"/>
        <v>1.6382978723404256</v>
      </c>
      <c r="O56" s="540">
        <v>47</v>
      </c>
      <c r="P56" s="540">
        <v>86</v>
      </c>
      <c r="Q56" s="622">
        <f t="shared" si="1"/>
        <v>1.8297872340425532</v>
      </c>
    </row>
    <row r="57" spans="1:17" ht="43.5" customHeight="1" hidden="1">
      <c r="A57" s="488"/>
      <c r="B57" s="488"/>
      <c r="C57" s="488"/>
      <c r="D57" s="488"/>
      <c r="E57" s="765" t="s">
        <v>340</v>
      </c>
      <c r="F57" s="766"/>
      <c r="G57" s="219" t="s">
        <v>66</v>
      </c>
      <c r="H57" s="718" t="s">
        <v>342</v>
      </c>
      <c r="I57" s="718"/>
      <c r="J57" s="718"/>
      <c r="K57" s="513" t="s">
        <v>332</v>
      </c>
      <c r="L57" s="514"/>
      <c r="M57" s="514"/>
      <c r="N57" s="547" t="e">
        <f t="shared" si="0"/>
        <v>#DIV/0!</v>
      </c>
      <c r="O57" s="540"/>
      <c r="P57" s="540"/>
      <c r="Q57" s="622" t="e">
        <f t="shared" si="1"/>
        <v>#DIV/0!</v>
      </c>
    </row>
    <row r="58" spans="1:17" ht="32.25" customHeight="1">
      <c r="A58" s="488"/>
      <c r="B58" s="488"/>
      <c r="C58" s="488"/>
      <c r="D58" s="488"/>
      <c r="E58" s="730" t="s">
        <v>19</v>
      </c>
      <c r="F58" s="731"/>
      <c r="G58" s="219" t="s">
        <v>341</v>
      </c>
      <c r="H58" s="718" t="s">
        <v>20</v>
      </c>
      <c r="I58" s="718"/>
      <c r="J58" s="718"/>
      <c r="K58" s="513"/>
      <c r="L58" s="514">
        <v>300</v>
      </c>
      <c r="M58" s="514">
        <v>184.8</v>
      </c>
      <c r="N58" s="547">
        <f t="shared" si="0"/>
        <v>0.616</v>
      </c>
      <c r="O58" s="540">
        <v>300</v>
      </c>
      <c r="P58" s="540">
        <v>293.18</v>
      </c>
      <c r="Q58" s="622">
        <f t="shared" si="1"/>
        <v>0.9772666666666667</v>
      </c>
    </row>
    <row r="59" spans="1:17" ht="29.25" customHeight="1" hidden="1">
      <c r="A59" s="488"/>
      <c r="B59" s="488"/>
      <c r="C59" s="488"/>
      <c r="D59" s="488"/>
      <c r="E59" s="765" t="s">
        <v>436</v>
      </c>
      <c r="F59" s="766"/>
      <c r="G59" s="219" t="s">
        <v>67</v>
      </c>
      <c r="H59" s="718" t="s">
        <v>437</v>
      </c>
      <c r="I59" s="718"/>
      <c r="J59" s="718"/>
      <c r="K59" s="513" t="s">
        <v>332</v>
      </c>
      <c r="L59" s="514"/>
      <c r="M59" s="514"/>
      <c r="N59" s="547" t="e">
        <f t="shared" si="0"/>
        <v>#DIV/0!</v>
      </c>
      <c r="O59" s="540"/>
      <c r="P59" s="540"/>
      <c r="Q59" s="622" t="e">
        <f t="shared" si="1"/>
        <v>#DIV/0!</v>
      </c>
    </row>
    <row r="60" spans="1:17" ht="37.5" customHeight="1" hidden="1">
      <c r="A60" s="488"/>
      <c r="B60" s="488"/>
      <c r="C60" s="488"/>
      <c r="D60" s="488"/>
      <c r="E60" s="765" t="s">
        <v>436</v>
      </c>
      <c r="F60" s="766"/>
      <c r="G60" s="219">
        <v>188</v>
      </c>
      <c r="H60" s="718" t="s">
        <v>437</v>
      </c>
      <c r="I60" s="718"/>
      <c r="J60" s="718"/>
      <c r="K60" s="513" t="s">
        <v>332</v>
      </c>
      <c r="L60" s="514"/>
      <c r="M60" s="514"/>
      <c r="N60" s="547" t="e">
        <f t="shared" si="0"/>
        <v>#DIV/0!</v>
      </c>
      <c r="O60" s="540"/>
      <c r="P60" s="540"/>
      <c r="Q60" s="622" t="e">
        <f t="shared" si="1"/>
        <v>#DIV/0!</v>
      </c>
    </row>
    <row r="61" spans="1:17" ht="31.5" customHeight="1">
      <c r="A61" s="488"/>
      <c r="B61" s="488"/>
      <c r="C61" s="488"/>
      <c r="D61" s="488"/>
      <c r="E61" s="730" t="s">
        <v>21</v>
      </c>
      <c r="F61" s="731"/>
      <c r="G61" s="219" t="s">
        <v>341</v>
      </c>
      <c r="H61" s="718" t="s">
        <v>22</v>
      </c>
      <c r="I61" s="718"/>
      <c r="J61" s="718"/>
      <c r="K61" s="513"/>
      <c r="L61" s="514">
        <v>230</v>
      </c>
      <c r="M61" s="514">
        <v>92.5</v>
      </c>
      <c r="N61" s="547">
        <f t="shared" si="0"/>
        <v>0.40217391304347827</v>
      </c>
      <c r="O61" s="540">
        <v>230</v>
      </c>
      <c r="P61" s="540">
        <v>234.4</v>
      </c>
      <c r="Q61" s="622">
        <f t="shared" si="1"/>
        <v>1.0191304347826087</v>
      </c>
    </row>
    <row r="62" spans="1:17" ht="28.5" customHeight="1">
      <c r="A62" s="488"/>
      <c r="B62" s="488"/>
      <c r="C62" s="488"/>
      <c r="D62" s="488"/>
      <c r="E62" s="730" t="s">
        <v>24</v>
      </c>
      <c r="F62" s="731"/>
      <c r="G62" s="219" t="s">
        <v>255</v>
      </c>
      <c r="H62" s="718" t="s">
        <v>23</v>
      </c>
      <c r="I62" s="718"/>
      <c r="J62" s="718"/>
      <c r="K62" s="513"/>
      <c r="L62" s="514">
        <v>25</v>
      </c>
      <c r="M62" s="514">
        <v>97.2</v>
      </c>
      <c r="N62" s="547">
        <f t="shared" si="0"/>
        <v>3.888</v>
      </c>
      <c r="O62" s="540">
        <v>25</v>
      </c>
      <c r="P62" s="540">
        <v>263.2</v>
      </c>
      <c r="Q62" s="622">
        <f t="shared" si="1"/>
        <v>10.527999999999999</v>
      </c>
    </row>
    <row r="63" spans="1:17" ht="43.5" customHeight="1" hidden="1">
      <c r="A63" s="488"/>
      <c r="B63" s="743" t="s">
        <v>932</v>
      </c>
      <c r="C63" s="743"/>
      <c r="D63" s="743"/>
      <c r="E63" s="743"/>
      <c r="F63" s="743"/>
      <c r="G63" s="743"/>
      <c r="H63" s="744" t="s">
        <v>25</v>
      </c>
      <c r="I63" s="744"/>
      <c r="J63" s="744"/>
      <c r="K63" s="508"/>
      <c r="L63" s="522"/>
      <c r="M63" s="522">
        <v>1.8</v>
      </c>
      <c r="N63" s="547" t="e">
        <f t="shared" si="0"/>
        <v>#DIV/0!</v>
      </c>
      <c r="O63" s="539"/>
      <c r="P63" s="539"/>
      <c r="Q63" s="622" t="e">
        <f t="shared" si="1"/>
        <v>#DIV/0!</v>
      </c>
    </row>
    <row r="64" spans="1:17" ht="38.25" customHeight="1">
      <c r="A64" s="488"/>
      <c r="B64" s="730" t="s">
        <v>26</v>
      </c>
      <c r="C64" s="745"/>
      <c r="D64" s="745"/>
      <c r="E64" s="745"/>
      <c r="F64" s="745"/>
      <c r="G64" s="731"/>
      <c r="H64" s="744" t="s">
        <v>25</v>
      </c>
      <c r="I64" s="744"/>
      <c r="J64" s="744"/>
      <c r="K64" s="508"/>
      <c r="L64" s="522">
        <f>L65</f>
        <v>60</v>
      </c>
      <c r="M64" s="522">
        <f>M65</f>
        <v>0</v>
      </c>
      <c r="N64" s="547">
        <f t="shared" si="0"/>
        <v>0</v>
      </c>
      <c r="O64" s="539">
        <f>O65</f>
        <v>60</v>
      </c>
      <c r="P64" s="539">
        <f>P65</f>
        <v>6.3</v>
      </c>
      <c r="Q64" s="622">
        <f t="shared" si="1"/>
        <v>0.105</v>
      </c>
    </row>
    <row r="65" spans="1:17" ht="37.5" customHeight="1">
      <c r="A65" s="488"/>
      <c r="B65" s="488"/>
      <c r="C65" s="488"/>
      <c r="D65" s="488"/>
      <c r="E65" s="765" t="s">
        <v>27</v>
      </c>
      <c r="F65" s="766"/>
      <c r="G65" s="219" t="s">
        <v>256</v>
      </c>
      <c r="H65" s="718" t="s">
        <v>28</v>
      </c>
      <c r="I65" s="718"/>
      <c r="J65" s="718"/>
      <c r="K65" s="513"/>
      <c r="L65" s="514">
        <v>60</v>
      </c>
      <c r="M65" s="514">
        <v>0</v>
      </c>
      <c r="N65" s="547">
        <f t="shared" si="0"/>
        <v>0</v>
      </c>
      <c r="O65" s="540">
        <v>60</v>
      </c>
      <c r="P65" s="540">
        <v>6.3</v>
      </c>
      <c r="Q65" s="622">
        <f t="shared" si="1"/>
        <v>0.105</v>
      </c>
    </row>
    <row r="66" spans="1:17" ht="42" customHeight="1" hidden="1">
      <c r="A66" s="488"/>
      <c r="B66" s="743" t="s">
        <v>933</v>
      </c>
      <c r="C66" s="743"/>
      <c r="D66" s="743"/>
      <c r="E66" s="743"/>
      <c r="F66" s="743"/>
      <c r="G66" s="743"/>
      <c r="H66" s="744" t="s">
        <v>934</v>
      </c>
      <c r="I66" s="744"/>
      <c r="J66" s="744"/>
      <c r="K66" s="508"/>
      <c r="L66" s="522"/>
      <c r="M66" s="522">
        <v>42.5</v>
      </c>
      <c r="N66" s="547" t="e">
        <f t="shared" si="0"/>
        <v>#DIV/0!</v>
      </c>
      <c r="O66" s="539"/>
      <c r="P66" s="539"/>
      <c r="Q66" s="622" t="e">
        <f t="shared" si="1"/>
        <v>#DIV/0!</v>
      </c>
    </row>
    <row r="67" spans="1:17" ht="33" customHeight="1">
      <c r="A67" s="488"/>
      <c r="B67" s="730" t="s">
        <v>29</v>
      </c>
      <c r="C67" s="745"/>
      <c r="D67" s="745"/>
      <c r="E67" s="745"/>
      <c r="F67" s="745"/>
      <c r="G67" s="731"/>
      <c r="H67" s="744" t="s">
        <v>30</v>
      </c>
      <c r="I67" s="744"/>
      <c r="J67" s="744"/>
      <c r="K67" s="508"/>
      <c r="L67" s="522">
        <v>2011</v>
      </c>
      <c r="M67" s="522">
        <v>1081</v>
      </c>
      <c r="N67" s="547">
        <f t="shared" si="0"/>
        <v>0.5375435106911984</v>
      </c>
      <c r="O67" s="539">
        <v>2981</v>
      </c>
      <c r="P67" s="539">
        <v>2906.93</v>
      </c>
      <c r="Q67" s="622">
        <f t="shared" si="1"/>
        <v>0.9751526333445152</v>
      </c>
    </row>
    <row r="68" spans="1:17" ht="42" customHeight="1" hidden="1">
      <c r="A68" s="488"/>
      <c r="B68" s="488"/>
      <c r="C68" s="488"/>
      <c r="D68" s="488"/>
      <c r="E68" s="765" t="s">
        <v>257</v>
      </c>
      <c r="F68" s="766"/>
      <c r="G68" s="219" t="s">
        <v>68</v>
      </c>
      <c r="H68" s="718" t="s">
        <v>258</v>
      </c>
      <c r="I68" s="718"/>
      <c r="J68" s="718"/>
      <c r="K68" s="513" t="s">
        <v>332</v>
      </c>
      <c r="L68" s="514">
        <v>70</v>
      </c>
      <c r="M68" s="514">
        <v>70</v>
      </c>
      <c r="N68" s="547">
        <f t="shared" si="0"/>
        <v>1</v>
      </c>
      <c r="O68" s="540">
        <v>70</v>
      </c>
      <c r="P68" s="540"/>
      <c r="Q68" s="622">
        <f t="shared" si="1"/>
        <v>0</v>
      </c>
    </row>
    <row r="69" spans="1:17" ht="27" customHeight="1" hidden="1">
      <c r="A69" s="488"/>
      <c r="B69" s="488"/>
      <c r="C69" s="488"/>
      <c r="D69" s="488"/>
      <c r="E69" s="765" t="s">
        <v>257</v>
      </c>
      <c r="F69" s="766"/>
      <c r="G69" s="219">
        <v>106</v>
      </c>
      <c r="H69" s="718" t="s">
        <v>258</v>
      </c>
      <c r="I69" s="718"/>
      <c r="J69" s="718"/>
      <c r="K69" s="513" t="s">
        <v>332</v>
      </c>
      <c r="L69" s="514"/>
      <c r="M69" s="514"/>
      <c r="N69" s="547" t="e">
        <f t="shared" si="0"/>
        <v>#DIV/0!</v>
      </c>
      <c r="O69" s="540"/>
      <c r="P69" s="540"/>
      <c r="Q69" s="622" t="e">
        <f t="shared" si="1"/>
        <v>#DIV/0!</v>
      </c>
    </row>
    <row r="70" spans="1:17" ht="27" customHeight="1" hidden="1">
      <c r="A70" s="488"/>
      <c r="B70" s="488"/>
      <c r="C70" s="488"/>
      <c r="D70" s="488"/>
      <c r="E70" s="765" t="s">
        <v>257</v>
      </c>
      <c r="F70" s="766"/>
      <c r="G70" s="219" t="s">
        <v>68</v>
      </c>
      <c r="H70" s="718" t="s">
        <v>258</v>
      </c>
      <c r="I70" s="718"/>
      <c r="J70" s="718"/>
      <c r="K70" s="513" t="s">
        <v>332</v>
      </c>
      <c r="L70" s="514"/>
      <c r="M70" s="514"/>
      <c r="N70" s="547" t="e">
        <f t="shared" si="0"/>
        <v>#DIV/0!</v>
      </c>
      <c r="O70" s="540"/>
      <c r="P70" s="540"/>
      <c r="Q70" s="622" t="e">
        <f t="shared" si="1"/>
        <v>#DIV/0!</v>
      </c>
    </row>
    <row r="71" spans="1:17" ht="39.75" customHeight="1" hidden="1">
      <c r="A71" s="488"/>
      <c r="B71" s="488"/>
      <c r="C71" s="488"/>
      <c r="D71" s="488"/>
      <c r="E71" s="765" t="s">
        <v>257</v>
      </c>
      <c r="F71" s="766"/>
      <c r="G71" s="219">
        <v>182</v>
      </c>
      <c r="H71" s="718" t="s">
        <v>258</v>
      </c>
      <c r="I71" s="718"/>
      <c r="J71" s="718"/>
      <c r="K71" s="513" t="s">
        <v>332</v>
      </c>
      <c r="L71" s="514"/>
      <c r="M71" s="514"/>
      <c r="N71" s="547" t="e">
        <f t="shared" si="0"/>
        <v>#DIV/0!</v>
      </c>
      <c r="O71" s="540"/>
      <c r="P71" s="540"/>
      <c r="Q71" s="622" t="e">
        <f t="shared" si="1"/>
        <v>#DIV/0!</v>
      </c>
    </row>
    <row r="72" spans="1:17" ht="33.75" customHeight="1" hidden="1">
      <c r="A72" s="488"/>
      <c r="B72" s="488"/>
      <c r="C72" s="488"/>
      <c r="D72" s="488"/>
      <c r="E72" s="765" t="s">
        <v>257</v>
      </c>
      <c r="F72" s="766"/>
      <c r="G72" s="219">
        <v>188</v>
      </c>
      <c r="H72" s="718" t="s">
        <v>258</v>
      </c>
      <c r="I72" s="718"/>
      <c r="J72" s="718"/>
      <c r="K72" s="513" t="s">
        <v>332</v>
      </c>
      <c r="L72" s="514"/>
      <c r="M72" s="514"/>
      <c r="N72" s="547" t="e">
        <f t="shared" si="0"/>
        <v>#DIV/0!</v>
      </c>
      <c r="O72" s="540"/>
      <c r="P72" s="540"/>
      <c r="Q72" s="622" t="e">
        <f t="shared" si="1"/>
        <v>#DIV/0!</v>
      </c>
    </row>
    <row r="73" spans="1:17" ht="33.75" customHeight="1" hidden="1">
      <c r="A73" s="488"/>
      <c r="B73" s="488"/>
      <c r="C73" s="488"/>
      <c r="D73" s="488"/>
      <c r="E73" s="765" t="s">
        <v>257</v>
      </c>
      <c r="F73" s="766"/>
      <c r="G73" s="219">
        <v>192</v>
      </c>
      <c r="H73" s="718" t="s">
        <v>258</v>
      </c>
      <c r="I73" s="718"/>
      <c r="J73" s="718"/>
      <c r="K73" s="513" t="s">
        <v>332</v>
      </c>
      <c r="L73" s="514"/>
      <c r="M73" s="514"/>
      <c r="N73" s="547" t="e">
        <f t="shared" si="0"/>
        <v>#DIV/0!</v>
      </c>
      <c r="O73" s="540"/>
      <c r="P73" s="540"/>
      <c r="Q73" s="622" t="e">
        <f t="shared" si="1"/>
        <v>#DIV/0!</v>
      </c>
    </row>
    <row r="74" spans="1:17" ht="33.75" customHeight="1" hidden="1">
      <c r="A74" s="488"/>
      <c r="B74" s="488"/>
      <c r="C74" s="488"/>
      <c r="D74" s="488"/>
      <c r="E74" s="765" t="s">
        <v>257</v>
      </c>
      <c r="F74" s="766"/>
      <c r="G74" s="219" t="s">
        <v>67</v>
      </c>
      <c r="H74" s="718" t="s">
        <v>258</v>
      </c>
      <c r="I74" s="718"/>
      <c r="J74" s="718"/>
      <c r="K74" s="513" t="s">
        <v>332</v>
      </c>
      <c r="L74" s="514"/>
      <c r="M74" s="514"/>
      <c r="N74" s="547" t="e">
        <f t="shared" si="0"/>
        <v>#DIV/0!</v>
      </c>
      <c r="O74" s="540"/>
      <c r="P74" s="540"/>
      <c r="Q74" s="622" t="e">
        <f t="shared" si="1"/>
        <v>#DIV/0!</v>
      </c>
    </row>
    <row r="75" spans="1:17" ht="33.75" customHeight="1" hidden="1">
      <c r="A75" s="488"/>
      <c r="B75" s="488"/>
      <c r="C75" s="488"/>
      <c r="D75" s="488"/>
      <c r="E75" s="765" t="s">
        <v>257</v>
      </c>
      <c r="F75" s="766"/>
      <c r="G75" s="219">
        <v>300</v>
      </c>
      <c r="H75" s="718" t="s">
        <v>258</v>
      </c>
      <c r="I75" s="718"/>
      <c r="J75" s="718"/>
      <c r="K75" s="513" t="s">
        <v>332</v>
      </c>
      <c r="L75" s="514"/>
      <c r="M75" s="514"/>
      <c r="N75" s="547" t="e">
        <f t="shared" si="0"/>
        <v>#DIV/0!</v>
      </c>
      <c r="O75" s="540"/>
      <c r="P75" s="540"/>
      <c r="Q75" s="622" t="e">
        <f t="shared" si="1"/>
        <v>#DIV/0!</v>
      </c>
    </row>
    <row r="76" spans="1:17" ht="42" customHeight="1" hidden="1">
      <c r="A76" s="488"/>
      <c r="B76" s="488"/>
      <c r="C76" s="488"/>
      <c r="D76" s="488"/>
      <c r="E76" s="765" t="s">
        <v>320</v>
      </c>
      <c r="F76" s="766"/>
      <c r="G76" s="490">
        <v>177</v>
      </c>
      <c r="H76" s="772" t="s">
        <v>258</v>
      </c>
      <c r="I76" s="772"/>
      <c r="J76" s="772"/>
      <c r="K76" s="518" t="s">
        <v>332</v>
      </c>
      <c r="L76" s="514"/>
      <c r="M76" s="514"/>
      <c r="N76" s="547" t="e">
        <f aca="true" t="shared" si="3" ref="N76:N83">M76/L76</f>
        <v>#DIV/0!</v>
      </c>
      <c r="O76" s="540"/>
      <c r="P76" s="540"/>
      <c r="Q76" s="622" t="e">
        <f t="shared" si="1"/>
        <v>#DIV/0!</v>
      </c>
    </row>
    <row r="77" spans="1:17" ht="42" customHeight="1" hidden="1">
      <c r="A77" s="488"/>
      <c r="B77" s="488"/>
      <c r="C77" s="488"/>
      <c r="D77" s="488"/>
      <c r="E77" s="765" t="s">
        <v>69</v>
      </c>
      <c r="F77" s="766"/>
      <c r="G77" s="490">
        <v>885</v>
      </c>
      <c r="H77" s="772" t="s">
        <v>258</v>
      </c>
      <c r="I77" s="772"/>
      <c r="J77" s="772"/>
      <c r="K77" s="518" t="s">
        <v>332</v>
      </c>
      <c r="L77" s="514"/>
      <c r="M77" s="514"/>
      <c r="N77" s="547" t="e">
        <f t="shared" si="3"/>
        <v>#DIV/0!</v>
      </c>
      <c r="O77" s="540"/>
      <c r="P77" s="540"/>
      <c r="Q77" s="622" t="e">
        <f t="shared" si="1"/>
        <v>#DIV/0!</v>
      </c>
    </row>
    <row r="78" spans="1:17" ht="0.75" customHeight="1" hidden="1">
      <c r="A78" s="488"/>
      <c r="B78" s="488"/>
      <c r="C78" s="488"/>
      <c r="D78" s="488"/>
      <c r="E78" s="765" t="s">
        <v>69</v>
      </c>
      <c r="F78" s="766"/>
      <c r="G78" s="490">
        <v>891</v>
      </c>
      <c r="H78" s="772" t="s">
        <v>258</v>
      </c>
      <c r="I78" s="772"/>
      <c r="J78" s="772"/>
      <c r="K78" s="518" t="s">
        <v>332</v>
      </c>
      <c r="L78" s="514"/>
      <c r="M78" s="514"/>
      <c r="N78" s="547" t="e">
        <f t="shared" si="3"/>
        <v>#DIV/0!</v>
      </c>
      <c r="O78" s="540"/>
      <c r="P78" s="540"/>
      <c r="Q78" s="622" t="e">
        <f aca="true" t="shared" si="4" ref="Q78:Q93">P78/O78</f>
        <v>#DIV/0!</v>
      </c>
    </row>
    <row r="79" spans="1:17" ht="51" customHeight="1">
      <c r="A79" s="488"/>
      <c r="B79" s="488"/>
      <c r="C79" s="488"/>
      <c r="D79" s="488"/>
      <c r="E79" s="730" t="s">
        <v>31</v>
      </c>
      <c r="F79" s="731"/>
      <c r="G79" s="219" t="s">
        <v>234</v>
      </c>
      <c r="H79" s="718" t="s">
        <v>32</v>
      </c>
      <c r="I79" s="718"/>
      <c r="J79" s="718"/>
      <c r="K79" s="513"/>
      <c r="L79" s="514">
        <v>45</v>
      </c>
      <c r="M79" s="514"/>
      <c r="N79" s="547">
        <f t="shared" si="3"/>
        <v>0</v>
      </c>
      <c r="O79" s="540">
        <v>45</v>
      </c>
      <c r="P79" s="540">
        <v>100.7</v>
      </c>
      <c r="Q79" s="622">
        <f t="shared" si="4"/>
        <v>2.2377777777777776</v>
      </c>
    </row>
    <row r="80" spans="1:17" ht="44.25" customHeight="1">
      <c r="A80" s="488"/>
      <c r="B80" s="488"/>
      <c r="C80" s="488"/>
      <c r="D80" s="488"/>
      <c r="E80" s="730" t="s">
        <v>33</v>
      </c>
      <c r="F80" s="731"/>
      <c r="G80" s="219" t="s">
        <v>260</v>
      </c>
      <c r="H80" s="718" t="s">
        <v>34</v>
      </c>
      <c r="I80" s="718"/>
      <c r="J80" s="718"/>
      <c r="K80" s="513"/>
      <c r="L80" s="514">
        <v>450</v>
      </c>
      <c r="M80" s="514">
        <v>86.5</v>
      </c>
      <c r="N80" s="547">
        <f t="shared" si="3"/>
        <v>0.1922222222222222</v>
      </c>
      <c r="O80" s="540">
        <v>450</v>
      </c>
      <c r="P80" s="540">
        <v>211.77</v>
      </c>
      <c r="Q80" s="622">
        <f t="shared" si="4"/>
        <v>0.4706</v>
      </c>
    </row>
    <row r="81" spans="1:17" ht="53.25" customHeight="1">
      <c r="A81" s="488"/>
      <c r="B81" s="488"/>
      <c r="C81" s="488"/>
      <c r="D81" s="488"/>
      <c r="E81" s="730" t="s">
        <v>35</v>
      </c>
      <c r="F81" s="731"/>
      <c r="G81" s="624" t="s">
        <v>1065</v>
      </c>
      <c r="H81" s="718" t="s">
        <v>36</v>
      </c>
      <c r="I81" s="718"/>
      <c r="J81" s="718"/>
      <c r="K81" s="513"/>
      <c r="L81" s="514"/>
      <c r="M81" s="514"/>
      <c r="N81" s="547"/>
      <c r="O81" s="540">
        <v>160</v>
      </c>
      <c r="P81" s="540">
        <v>163.28</v>
      </c>
      <c r="Q81" s="622">
        <f t="shared" si="4"/>
        <v>1.0205</v>
      </c>
    </row>
    <row r="82" spans="1:17" ht="53.25" customHeight="1">
      <c r="A82" s="488"/>
      <c r="B82" s="488"/>
      <c r="C82" s="488"/>
      <c r="D82" s="488"/>
      <c r="E82" s="749" t="s">
        <v>1066</v>
      </c>
      <c r="F82" s="750"/>
      <c r="G82" s="634" t="s">
        <v>514</v>
      </c>
      <c r="H82" s="715" t="s">
        <v>1067</v>
      </c>
      <c r="I82" s="716"/>
      <c r="J82" s="717"/>
      <c r="K82" s="630"/>
      <c r="L82" s="631"/>
      <c r="M82" s="631"/>
      <c r="N82" s="632"/>
      <c r="O82" s="633">
        <f>O83</f>
        <v>0</v>
      </c>
      <c r="P82" s="633">
        <f>P83</f>
        <v>-5.61</v>
      </c>
      <c r="Q82" s="622" t="e">
        <f t="shared" si="4"/>
        <v>#DIV/0!</v>
      </c>
    </row>
    <row r="83" spans="1:17" ht="51.75" customHeight="1">
      <c r="A83" s="488"/>
      <c r="B83" s="488"/>
      <c r="C83" s="488"/>
      <c r="D83" s="488"/>
      <c r="E83" s="770" t="s">
        <v>513</v>
      </c>
      <c r="F83" s="771"/>
      <c r="G83" s="625">
        <v>300</v>
      </c>
      <c r="H83" s="772" t="s">
        <v>1068</v>
      </c>
      <c r="I83" s="772"/>
      <c r="J83" s="772"/>
      <c r="K83" s="626"/>
      <c r="L83" s="627">
        <v>160</v>
      </c>
      <c r="M83" s="627">
        <f>151.9+20.1</f>
        <v>172</v>
      </c>
      <c r="N83" s="628">
        <f t="shared" si="3"/>
        <v>1.075</v>
      </c>
      <c r="O83" s="629"/>
      <c r="P83" s="629">
        <v>-5.61</v>
      </c>
      <c r="Q83" s="622" t="e">
        <f t="shared" si="4"/>
        <v>#DIV/0!</v>
      </c>
    </row>
    <row r="84" spans="1:17" ht="46.5" customHeight="1" hidden="1">
      <c r="A84" s="488"/>
      <c r="B84" s="488"/>
      <c r="C84" s="488"/>
      <c r="D84" s="488"/>
      <c r="E84" s="765" t="s">
        <v>320</v>
      </c>
      <c r="F84" s="766"/>
      <c r="G84" s="219">
        <v>188</v>
      </c>
      <c r="H84" s="718">
        <v>11643000010000</v>
      </c>
      <c r="I84" s="718"/>
      <c r="J84" s="718"/>
      <c r="K84" s="513" t="s">
        <v>332</v>
      </c>
      <c r="L84" s="514"/>
      <c r="M84" s="525"/>
      <c r="N84" s="547" t="e">
        <f aca="true" t="shared" si="5" ref="N84:N89">M84/L84</f>
        <v>#DIV/0!</v>
      </c>
      <c r="O84" s="535"/>
      <c r="P84" s="535"/>
      <c r="Q84" s="622" t="e">
        <f t="shared" si="4"/>
        <v>#DIV/0!</v>
      </c>
    </row>
    <row r="85" spans="1:17" ht="46.5" customHeight="1" hidden="1">
      <c r="A85" s="488"/>
      <c r="B85" s="488"/>
      <c r="C85" s="488"/>
      <c r="D85" s="488"/>
      <c r="E85" s="765" t="s">
        <v>259</v>
      </c>
      <c r="F85" s="766"/>
      <c r="G85" s="219">
        <v>188</v>
      </c>
      <c r="H85" s="718">
        <v>11630030016000</v>
      </c>
      <c r="I85" s="718"/>
      <c r="J85" s="718"/>
      <c r="K85" s="513" t="s">
        <v>332</v>
      </c>
      <c r="L85" s="514"/>
      <c r="M85" s="519"/>
      <c r="N85" s="547" t="e">
        <f t="shared" si="5"/>
        <v>#DIV/0!</v>
      </c>
      <c r="O85" s="535"/>
      <c r="P85" s="535"/>
      <c r="Q85" s="622" t="e">
        <f t="shared" si="4"/>
        <v>#DIV/0!</v>
      </c>
    </row>
    <row r="86" spans="1:17" ht="46.5" customHeight="1" hidden="1">
      <c r="A86" s="488"/>
      <c r="B86" s="488"/>
      <c r="C86" s="488"/>
      <c r="D86" s="488"/>
      <c r="E86" s="765" t="s">
        <v>259</v>
      </c>
      <c r="F86" s="766"/>
      <c r="G86" s="219">
        <v>321</v>
      </c>
      <c r="H86" s="718">
        <v>11625060016000</v>
      </c>
      <c r="I86" s="718"/>
      <c r="J86" s="718"/>
      <c r="K86" s="526">
        <v>140</v>
      </c>
      <c r="L86" s="514"/>
      <c r="M86" s="519"/>
      <c r="N86" s="547" t="e">
        <f t="shared" si="5"/>
        <v>#DIV/0!</v>
      </c>
      <c r="O86" s="535"/>
      <c r="P86" s="535"/>
      <c r="Q86" s="622" t="e">
        <f t="shared" si="4"/>
        <v>#DIV/0!</v>
      </c>
    </row>
    <row r="87" spans="1:17" ht="42" customHeight="1" hidden="1">
      <c r="A87" s="488"/>
      <c r="B87" s="488"/>
      <c r="C87" s="488"/>
      <c r="D87" s="488"/>
      <c r="E87" s="765"/>
      <c r="F87" s="766"/>
      <c r="G87" s="495"/>
      <c r="H87" s="767"/>
      <c r="I87" s="767"/>
      <c r="J87" s="767"/>
      <c r="K87" s="527"/>
      <c r="L87" s="528"/>
      <c r="M87" s="528"/>
      <c r="N87" s="547" t="e">
        <f t="shared" si="5"/>
        <v>#DIV/0!</v>
      </c>
      <c r="O87" s="535"/>
      <c r="P87" s="535"/>
      <c r="Q87" s="622" t="e">
        <f t="shared" si="4"/>
        <v>#DIV/0!</v>
      </c>
    </row>
    <row r="88" spans="1:17" ht="42" customHeight="1" hidden="1">
      <c r="A88" s="488"/>
      <c r="B88" s="488"/>
      <c r="C88" s="488"/>
      <c r="D88" s="488"/>
      <c r="E88" s="768" t="s">
        <v>513</v>
      </c>
      <c r="F88" s="769"/>
      <c r="G88" s="219"/>
      <c r="H88" s="744">
        <v>11700000000000</v>
      </c>
      <c r="I88" s="744"/>
      <c r="J88" s="744"/>
      <c r="K88" s="513"/>
      <c r="L88" s="519"/>
      <c r="M88" s="519"/>
      <c r="N88" s="547" t="e">
        <f t="shared" si="5"/>
        <v>#DIV/0!</v>
      </c>
      <c r="O88" s="535"/>
      <c r="P88" s="535"/>
      <c r="Q88" s="622" t="e">
        <f t="shared" si="4"/>
        <v>#DIV/0!</v>
      </c>
    </row>
    <row r="89" spans="1:17" ht="21.75" customHeight="1">
      <c r="A89" s="507"/>
      <c r="B89" s="507"/>
      <c r="C89" s="507"/>
      <c r="D89" s="507"/>
      <c r="E89" s="762" t="s">
        <v>375</v>
      </c>
      <c r="F89" s="763"/>
      <c r="G89" s="485"/>
      <c r="H89" s="764"/>
      <c r="I89" s="764"/>
      <c r="J89" s="764"/>
      <c r="K89" s="559"/>
      <c r="L89" s="541">
        <f>L13+L21+L28+L33+L39+L43+L48+L41+L31+L88+L19</f>
        <v>250020.57</v>
      </c>
      <c r="M89" s="541" t="e">
        <f>M13+M21+M28+M33+M39+M43+M48+M41+M31+M88+M19</f>
        <v>#REF!</v>
      </c>
      <c r="N89" s="547" t="e">
        <f t="shared" si="5"/>
        <v>#REF!</v>
      </c>
      <c r="O89" s="541">
        <f>O13+O21+O28+O33+O39+O43+O48+O41+O31+O88+O19+O82</f>
        <v>221198</v>
      </c>
      <c r="P89" s="541">
        <f>P13+P21+P28+P33+P39+P43+P48+P41+P31+P88+P19+P82</f>
        <v>225885.94999999995</v>
      </c>
      <c r="Q89" s="622">
        <f t="shared" si="4"/>
        <v>1.0211934556370308</v>
      </c>
    </row>
    <row r="90" spans="1:18" s="487" customFormat="1" ht="27" customHeight="1">
      <c r="A90" s="751" t="s">
        <v>38</v>
      </c>
      <c r="B90" s="751"/>
      <c r="C90" s="751"/>
      <c r="D90" s="751"/>
      <c r="E90" s="751"/>
      <c r="F90" s="751"/>
      <c r="G90" s="751"/>
      <c r="H90" s="758" t="s">
        <v>37</v>
      </c>
      <c r="I90" s="758"/>
      <c r="J90" s="758"/>
      <c r="K90" s="485"/>
      <c r="L90" s="529" t="e">
        <f>L91+L97+L114+L136</f>
        <v>#REF!</v>
      </c>
      <c r="M90" s="529" t="e">
        <f>M91+M97+M114+M136</f>
        <v>#REF!</v>
      </c>
      <c r="N90" s="529" t="e">
        <f>N91+N97+N114+N136</f>
        <v>#REF!</v>
      </c>
      <c r="O90" s="529">
        <f>O91+O97+O114+O136+O148</f>
        <v>847423.6399999999</v>
      </c>
      <c r="P90" s="529">
        <f>P91+P97+P114+P136+P148</f>
        <v>742649.9</v>
      </c>
      <c r="Q90" s="622">
        <f t="shared" si="4"/>
        <v>0.8763620283238737</v>
      </c>
      <c r="R90" s="565" t="e">
        <f>O91+O97+O114+#REF!+#REF!+#REF!+#REF!+#REF!+#REF!+#REF!</f>
        <v>#REF!</v>
      </c>
    </row>
    <row r="91" spans="1:17" ht="29.25" customHeight="1">
      <c r="A91" s="623"/>
      <c r="B91" s="751" t="s">
        <v>448</v>
      </c>
      <c r="C91" s="751"/>
      <c r="D91" s="751"/>
      <c r="E91" s="751"/>
      <c r="F91" s="751"/>
      <c r="G91" s="751"/>
      <c r="H91" s="758" t="s">
        <v>39</v>
      </c>
      <c r="I91" s="758"/>
      <c r="J91" s="758"/>
      <c r="K91" s="485"/>
      <c r="L91" s="530">
        <f>L92+L94+L95</f>
        <v>56482.5</v>
      </c>
      <c r="M91" s="531">
        <f>M92+M94+M95</f>
        <v>21556.2</v>
      </c>
      <c r="N91" s="531">
        <f>N92+N94+N95</f>
        <v>47177.7</v>
      </c>
      <c r="O91" s="541">
        <f>O92+O94+O95</f>
        <v>54534.8</v>
      </c>
      <c r="P91" s="541">
        <f>P92+P94+P95</f>
        <v>54534.8</v>
      </c>
      <c r="Q91" s="622">
        <f t="shared" si="4"/>
        <v>1</v>
      </c>
    </row>
    <row r="92" spans="1:18" s="487" customFormat="1" ht="13.5" customHeight="1">
      <c r="A92" s="651"/>
      <c r="B92" s="651"/>
      <c r="C92" s="751" t="s">
        <v>149</v>
      </c>
      <c r="D92" s="751"/>
      <c r="E92" s="751"/>
      <c r="F92" s="751"/>
      <c r="G92" s="751"/>
      <c r="H92" s="729" t="s">
        <v>40</v>
      </c>
      <c r="I92" s="729"/>
      <c r="J92" s="729"/>
      <c r="K92" s="552"/>
      <c r="L92" s="521">
        <f>L93</f>
        <v>43112.1</v>
      </c>
      <c r="M92" s="521">
        <f>M93</f>
        <v>21556.2</v>
      </c>
      <c r="N92" s="521">
        <f>N93</f>
        <v>47177.7</v>
      </c>
      <c r="O92" s="538">
        <f>O93</f>
        <v>41164.4</v>
      </c>
      <c r="P92" s="538">
        <f>P93</f>
        <v>41164.4</v>
      </c>
      <c r="Q92" s="622">
        <f t="shared" si="4"/>
        <v>1</v>
      </c>
      <c r="R92" s="560"/>
    </row>
    <row r="93" spans="1:18" ht="27.75" customHeight="1">
      <c r="A93" s="497"/>
      <c r="B93" s="497"/>
      <c r="C93" s="623"/>
      <c r="D93" s="623"/>
      <c r="E93" s="760" t="s">
        <v>419</v>
      </c>
      <c r="F93" s="761"/>
      <c r="G93" s="510" t="s">
        <v>514</v>
      </c>
      <c r="H93" s="718" t="s">
        <v>41</v>
      </c>
      <c r="I93" s="718"/>
      <c r="J93" s="718"/>
      <c r="K93" s="513"/>
      <c r="L93" s="561">
        <v>43112.1</v>
      </c>
      <c r="M93" s="561">
        <v>21556.2</v>
      </c>
      <c r="N93" s="561">
        <v>47177.7</v>
      </c>
      <c r="O93" s="539">
        <v>41164.4</v>
      </c>
      <c r="P93" s="539">
        <v>41164.4</v>
      </c>
      <c r="Q93" s="622">
        <f t="shared" si="4"/>
        <v>1</v>
      </c>
      <c r="R93" s="496"/>
    </row>
    <row r="94" spans="1:17" ht="20.25" customHeight="1" hidden="1">
      <c r="A94" s="497"/>
      <c r="B94" s="497"/>
      <c r="C94" s="623"/>
      <c r="D94" s="623"/>
      <c r="E94" s="760"/>
      <c r="F94" s="761"/>
      <c r="G94" s="510"/>
      <c r="H94" s="719"/>
      <c r="I94" s="727"/>
      <c r="J94" s="728"/>
      <c r="K94" s="509"/>
      <c r="L94" s="561"/>
      <c r="M94" s="561"/>
      <c r="N94" s="561"/>
      <c r="O94" s="539"/>
      <c r="P94" s="539"/>
      <c r="Q94" s="622"/>
    </row>
    <row r="95" spans="1:17" s="487" customFormat="1" ht="33" customHeight="1">
      <c r="A95" s="491"/>
      <c r="B95" s="491"/>
      <c r="C95" s="751" t="s">
        <v>147</v>
      </c>
      <c r="D95" s="751"/>
      <c r="E95" s="751"/>
      <c r="F95" s="751"/>
      <c r="G95" s="751"/>
      <c r="H95" s="729" t="s">
        <v>45</v>
      </c>
      <c r="I95" s="729"/>
      <c r="J95" s="729"/>
      <c r="K95" s="552"/>
      <c r="L95" s="561">
        <v>13370.4</v>
      </c>
      <c r="M95" s="561">
        <f>M96</f>
        <v>0</v>
      </c>
      <c r="N95" s="561">
        <f>N96</f>
        <v>0</v>
      </c>
      <c r="O95" s="562">
        <v>13370.4</v>
      </c>
      <c r="P95" s="562">
        <v>13370.4</v>
      </c>
      <c r="Q95" s="622">
        <f>P95/O95</f>
        <v>1</v>
      </c>
    </row>
    <row r="96" spans="1:18" ht="39" customHeight="1" hidden="1">
      <c r="A96" s="497"/>
      <c r="B96" s="497"/>
      <c r="C96" s="497"/>
      <c r="D96" s="497"/>
      <c r="E96" s="752" t="s">
        <v>493</v>
      </c>
      <c r="F96" s="753"/>
      <c r="G96" s="652" t="s">
        <v>514</v>
      </c>
      <c r="H96" s="718" t="s">
        <v>44</v>
      </c>
      <c r="I96" s="718"/>
      <c r="J96" s="718"/>
      <c r="K96" s="513"/>
      <c r="L96" s="519">
        <v>0</v>
      </c>
      <c r="M96" s="519">
        <v>0</v>
      </c>
      <c r="N96" s="519">
        <v>0</v>
      </c>
      <c r="O96" s="542"/>
      <c r="P96" s="542"/>
      <c r="Q96" s="622" t="e">
        <f>P96/O96</f>
        <v>#DIV/0!</v>
      </c>
      <c r="R96" s="496"/>
    </row>
    <row r="97" spans="1:17" ht="24.75" customHeight="1">
      <c r="A97" s="497"/>
      <c r="B97" s="759" t="s">
        <v>1025</v>
      </c>
      <c r="C97" s="759"/>
      <c r="D97" s="759"/>
      <c r="E97" s="759"/>
      <c r="F97" s="759"/>
      <c r="G97" s="759"/>
      <c r="H97" s="757" t="s">
        <v>43</v>
      </c>
      <c r="I97" s="757"/>
      <c r="J97" s="757"/>
      <c r="K97" s="486"/>
      <c r="L97" s="532" t="e">
        <f>#REF!</f>
        <v>#REF!</v>
      </c>
      <c r="M97" s="532" t="e">
        <f>#REF!</f>
        <v>#REF!</v>
      </c>
      <c r="N97" s="532" t="e">
        <f>#REF!</f>
        <v>#REF!</v>
      </c>
      <c r="O97" s="543">
        <f>O98+O99+O100+O101+O102+O103+O104+O105+O106+O107+O108+O109+O110+O111+O112+O113</f>
        <v>332826.61999999994</v>
      </c>
      <c r="P97" s="543">
        <f>P98+P99+P100+P101+P102+P103+P104+P105+P106+P107+P108+P109+P110+P111+P112+P113</f>
        <v>239713.06999999998</v>
      </c>
      <c r="Q97" s="622">
        <f>P97/O97</f>
        <v>0.7202340666140227</v>
      </c>
    </row>
    <row r="98" spans="1:17" s="498" customFormat="1" ht="85.5" customHeight="1">
      <c r="A98" s="497"/>
      <c r="B98" s="623"/>
      <c r="C98" s="623"/>
      <c r="D98" s="623"/>
      <c r="E98" s="741" t="s">
        <v>1026</v>
      </c>
      <c r="F98" s="742"/>
      <c r="G98" s="623"/>
      <c r="H98" s="724" t="s">
        <v>1027</v>
      </c>
      <c r="I98" s="725"/>
      <c r="J98" s="726"/>
      <c r="K98" s="510"/>
      <c r="L98" s="525"/>
      <c r="M98" s="525"/>
      <c r="N98" s="525"/>
      <c r="O98" s="544">
        <v>83367.3</v>
      </c>
      <c r="P98" s="544">
        <v>83367.3</v>
      </c>
      <c r="Q98" s="622">
        <f aca="true" t="shared" si="6" ref="Q98:Q150">P98/O98</f>
        <v>1</v>
      </c>
    </row>
    <row r="99" spans="1:17" s="498" customFormat="1" ht="90" customHeight="1">
      <c r="A99" s="497"/>
      <c r="B99" s="623"/>
      <c r="C99" s="623"/>
      <c r="D99" s="623"/>
      <c r="E99" s="741" t="s">
        <v>961</v>
      </c>
      <c r="F99" s="742"/>
      <c r="G99" s="623"/>
      <c r="H99" s="724" t="s">
        <v>1027</v>
      </c>
      <c r="I99" s="725"/>
      <c r="J99" s="726"/>
      <c r="K99" s="510"/>
      <c r="L99" s="525"/>
      <c r="M99" s="525"/>
      <c r="N99" s="525"/>
      <c r="O99" s="544">
        <v>23268.22</v>
      </c>
      <c r="P99" s="544">
        <v>3675.5</v>
      </c>
      <c r="Q99" s="622">
        <f t="shared" si="6"/>
        <v>0.15796223346693472</v>
      </c>
    </row>
    <row r="100" spans="1:17" s="498" customFormat="1" ht="61.5" customHeight="1">
      <c r="A100" s="497"/>
      <c r="B100" s="623"/>
      <c r="C100" s="623"/>
      <c r="D100" s="623"/>
      <c r="E100" s="741" t="s">
        <v>1028</v>
      </c>
      <c r="F100" s="742"/>
      <c r="G100" s="623"/>
      <c r="H100" s="724" t="s">
        <v>1027</v>
      </c>
      <c r="I100" s="725"/>
      <c r="J100" s="726"/>
      <c r="K100" s="510"/>
      <c r="L100" s="525"/>
      <c r="M100" s="525"/>
      <c r="N100" s="525"/>
      <c r="O100" s="544">
        <v>417</v>
      </c>
      <c r="P100" s="544">
        <v>417</v>
      </c>
      <c r="Q100" s="622">
        <f t="shared" si="6"/>
        <v>1</v>
      </c>
    </row>
    <row r="101" spans="1:17" s="498" customFormat="1" ht="67.5" customHeight="1">
      <c r="A101" s="497"/>
      <c r="B101" s="623"/>
      <c r="C101" s="623"/>
      <c r="D101" s="623"/>
      <c r="E101" s="741" t="s">
        <v>969</v>
      </c>
      <c r="F101" s="742"/>
      <c r="G101" s="623"/>
      <c r="H101" s="724" t="s">
        <v>1029</v>
      </c>
      <c r="I101" s="725"/>
      <c r="J101" s="726"/>
      <c r="K101" s="510"/>
      <c r="L101" s="525"/>
      <c r="M101" s="525"/>
      <c r="N101" s="525"/>
      <c r="O101" s="544">
        <v>2403.7</v>
      </c>
      <c r="P101" s="544">
        <v>2403.7</v>
      </c>
      <c r="Q101" s="622">
        <f t="shared" si="6"/>
        <v>1</v>
      </c>
    </row>
    <row r="102" spans="1:17" s="498" customFormat="1" ht="93.75" customHeight="1">
      <c r="A102" s="497"/>
      <c r="B102" s="623"/>
      <c r="C102" s="623"/>
      <c r="D102" s="623"/>
      <c r="E102" s="741" t="s">
        <v>1030</v>
      </c>
      <c r="F102" s="742"/>
      <c r="G102" s="623"/>
      <c r="H102" s="724" t="s">
        <v>1027</v>
      </c>
      <c r="I102" s="725"/>
      <c r="J102" s="726"/>
      <c r="K102" s="510"/>
      <c r="L102" s="525"/>
      <c r="M102" s="525"/>
      <c r="N102" s="525"/>
      <c r="O102" s="544">
        <v>8135.4</v>
      </c>
      <c r="P102" s="544">
        <v>8135.4</v>
      </c>
      <c r="Q102" s="622">
        <f t="shared" si="6"/>
        <v>1</v>
      </c>
    </row>
    <row r="103" spans="1:17" s="498" customFormat="1" ht="83.25" customHeight="1">
      <c r="A103" s="497"/>
      <c r="B103" s="623"/>
      <c r="C103" s="623"/>
      <c r="D103" s="623"/>
      <c r="E103" s="747" t="s">
        <v>1031</v>
      </c>
      <c r="F103" s="748"/>
      <c r="G103" s="623"/>
      <c r="H103" s="724" t="s">
        <v>1027</v>
      </c>
      <c r="I103" s="725"/>
      <c r="J103" s="726"/>
      <c r="K103" s="510"/>
      <c r="L103" s="525"/>
      <c r="M103" s="525"/>
      <c r="N103" s="525"/>
      <c r="O103" s="544">
        <v>3419.97</v>
      </c>
      <c r="P103" s="544">
        <v>3419.97</v>
      </c>
      <c r="Q103" s="622">
        <f t="shared" si="6"/>
        <v>1</v>
      </c>
    </row>
    <row r="104" spans="1:17" s="498" customFormat="1" ht="63" customHeight="1">
      <c r="A104" s="497"/>
      <c r="B104" s="623"/>
      <c r="C104" s="623"/>
      <c r="D104" s="623"/>
      <c r="E104" s="741" t="s">
        <v>1032</v>
      </c>
      <c r="F104" s="742"/>
      <c r="G104" s="623"/>
      <c r="H104" s="724" t="s">
        <v>1027</v>
      </c>
      <c r="I104" s="725"/>
      <c r="J104" s="726"/>
      <c r="K104" s="510"/>
      <c r="L104" s="525"/>
      <c r="M104" s="525"/>
      <c r="N104" s="525"/>
      <c r="O104" s="544">
        <v>12504.34</v>
      </c>
      <c r="P104" s="544">
        <v>5456.24</v>
      </c>
      <c r="Q104" s="622">
        <f t="shared" si="6"/>
        <v>0.4363477000785327</v>
      </c>
    </row>
    <row r="105" spans="1:17" s="498" customFormat="1" ht="104.25" customHeight="1">
      <c r="A105" s="497"/>
      <c r="B105" s="623"/>
      <c r="C105" s="623"/>
      <c r="D105" s="623"/>
      <c r="E105" s="741" t="s">
        <v>965</v>
      </c>
      <c r="F105" s="742"/>
      <c r="G105" s="623"/>
      <c r="H105" s="724" t="s">
        <v>1033</v>
      </c>
      <c r="I105" s="725"/>
      <c r="J105" s="726"/>
      <c r="K105" s="510"/>
      <c r="L105" s="525"/>
      <c r="M105" s="525"/>
      <c r="N105" s="525"/>
      <c r="O105" s="544">
        <v>137823.08</v>
      </c>
      <c r="P105" s="544">
        <v>130247.73</v>
      </c>
      <c r="Q105" s="622">
        <f t="shared" si="6"/>
        <v>0.9450356935862992</v>
      </c>
    </row>
    <row r="106" spans="1:17" s="498" customFormat="1" ht="126" customHeight="1">
      <c r="A106" s="497"/>
      <c r="B106" s="623"/>
      <c r="C106" s="623"/>
      <c r="D106" s="623"/>
      <c r="E106" s="741" t="s">
        <v>1012</v>
      </c>
      <c r="F106" s="742"/>
      <c r="G106" s="623"/>
      <c r="H106" s="724" t="s">
        <v>1034</v>
      </c>
      <c r="I106" s="725"/>
      <c r="J106" s="726"/>
      <c r="K106" s="510"/>
      <c r="L106" s="525"/>
      <c r="M106" s="525"/>
      <c r="N106" s="525"/>
      <c r="O106" s="544">
        <v>20659.97</v>
      </c>
      <c r="P106" s="544">
        <v>0</v>
      </c>
      <c r="Q106" s="622">
        <f t="shared" si="6"/>
        <v>0</v>
      </c>
    </row>
    <row r="107" spans="1:17" s="498" customFormat="1" ht="81.75" customHeight="1">
      <c r="A107" s="497"/>
      <c r="B107" s="623"/>
      <c r="C107" s="623"/>
      <c r="D107" s="623"/>
      <c r="E107" s="741" t="s">
        <v>966</v>
      </c>
      <c r="F107" s="742"/>
      <c r="G107" s="623"/>
      <c r="H107" s="724" t="s">
        <v>1035</v>
      </c>
      <c r="I107" s="725"/>
      <c r="J107" s="726"/>
      <c r="K107" s="510"/>
      <c r="L107" s="525"/>
      <c r="M107" s="525"/>
      <c r="N107" s="525"/>
      <c r="O107" s="544">
        <v>29245.06</v>
      </c>
      <c r="P107" s="544">
        <v>0</v>
      </c>
      <c r="Q107" s="622">
        <f t="shared" si="6"/>
        <v>0</v>
      </c>
    </row>
    <row r="108" spans="1:17" s="498" customFormat="1" ht="82.5" customHeight="1">
      <c r="A108" s="497"/>
      <c r="B108" s="623"/>
      <c r="C108" s="623"/>
      <c r="D108" s="623"/>
      <c r="E108" s="747" t="s">
        <v>1013</v>
      </c>
      <c r="F108" s="748"/>
      <c r="G108" s="623"/>
      <c r="H108" s="724" t="s">
        <v>1035</v>
      </c>
      <c r="I108" s="725"/>
      <c r="J108" s="726"/>
      <c r="K108" s="510"/>
      <c r="L108" s="525"/>
      <c r="M108" s="525"/>
      <c r="N108" s="525"/>
      <c r="O108" s="544">
        <v>4962.92</v>
      </c>
      <c r="P108" s="544">
        <v>0</v>
      </c>
      <c r="Q108" s="622">
        <f t="shared" si="6"/>
        <v>0</v>
      </c>
    </row>
    <row r="109" spans="1:17" s="498" customFormat="1" ht="83.25" customHeight="1">
      <c r="A109" s="497"/>
      <c r="B109" s="623"/>
      <c r="C109" s="623"/>
      <c r="D109" s="623"/>
      <c r="E109" s="741" t="s">
        <v>977</v>
      </c>
      <c r="F109" s="742"/>
      <c r="G109" s="623"/>
      <c r="H109" s="724" t="s">
        <v>1036</v>
      </c>
      <c r="I109" s="725"/>
      <c r="J109" s="726"/>
      <c r="K109" s="510"/>
      <c r="L109" s="525"/>
      <c r="M109" s="525"/>
      <c r="N109" s="525"/>
      <c r="O109" s="544">
        <v>1014.55</v>
      </c>
      <c r="P109" s="544">
        <v>1014.55</v>
      </c>
      <c r="Q109" s="622">
        <f t="shared" si="6"/>
        <v>1</v>
      </c>
    </row>
    <row r="110" spans="1:17" s="498" customFormat="1" ht="87.75" customHeight="1">
      <c r="A110" s="497"/>
      <c r="B110" s="623"/>
      <c r="C110" s="623"/>
      <c r="D110" s="623"/>
      <c r="E110" s="741" t="s">
        <v>978</v>
      </c>
      <c r="F110" s="742"/>
      <c r="G110" s="623"/>
      <c r="H110" s="724" t="s">
        <v>1036</v>
      </c>
      <c r="I110" s="725"/>
      <c r="J110" s="726"/>
      <c r="K110" s="510"/>
      <c r="L110" s="525"/>
      <c r="M110" s="525"/>
      <c r="N110" s="525"/>
      <c r="O110" s="544">
        <v>1315.68</v>
      </c>
      <c r="P110" s="544">
        <v>1315.68</v>
      </c>
      <c r="Q110" s="622">
        <f t="shared" si="6"/>
        <v>1</v>
      </c>
    </row>
    <row r="111" spans="1:17" s="498" customFormat="1" ht="81.75" customHeight="1">
      <c r="A111" s="497"/>
      <c r="B111" s="623"/>
      <c r="C111" s="623"/>
      <c r="D111" s="623"/>
      <c r="E111" s="741" t="s">
        <v>979</v>
      </c>
      <c r="F111" s="742"/>
      <c r="G111" s="623"/>
      <c r="H111" s="724" t="s">
        <v>1037</v>
      </c>
      <c r="I111" s="725"/>
      <c r="J111" s="726"/>
      <c r="K111" s="510"/>
      <c r="L111" s="525"/>
      <c r="M111" s="525"/>
      <c r="N111" s="525"/>
      <c r="O111" s="544">
        <v>4029.43</v>
      </c>
      <c r="P111" s="544">
        <v>0</v>
      </c>
      <c r="Q111" s="622">
        <f t="shared" si="6"/>
        <v>0</v>
      </c>
    </row>
    <row r="112" spans="1:17" s="498" customFormat="1" ht="93.75" customHeight="1">
      <c r="A112" s="497"/>
      <c r="B112" s="623"/>
      <c r="C112" s="623"/>
      <c r="D112" s="623"/>
      <c r="E112" s="741" t="s">
        <v>1038</v>
      </c>
      <c r="F112" s="742"/>
      <c r="G112" s="623"/>
      <c r="H112" s="724" t="s">
        <v>1027</v>
      </c>
      <c r="I112" s="725"/>
      <c r="J112" s="726"/>
      <c r="K112" s="510"/>
      <c r="L112" s="525"/>
      <c r="M112" s="525"/>
      <c r="N112" s="525"/>
      <c r="O112" s="544">
        <v>130</v>
      </c>
      <c r="P112" s="544">
        <v>130</v>
      </c>
      <c r="Q112" s="622">
        <f t="shared" si="6"/>
        <v>1</v>
      </c>
    </row>
    <row r="113" spans="1:17" s="498" customFormat="1" ht="84.75" customHeight="1">
      <c r="A113" s="497"/>
      <c r="B113" s="623"/>
      <c r="C113" s="623"/>
      <c r="D113" s="623"/>
      <c r="E113" s="741" t="s">
        <v>1039</v>
      </c>
      <c r="F113" s="742"/>
      <c r="G113" s="623"/>
      <c r="H113" s="724" t="s">
        <v>1040</v>
      </c>
      <c r="I113" s="725"/>
      <c r="J113" s="726"/>
      <c r="K113" s="510"/>
      <c r="L113" s="525"/>
      <c r="M113" s="525"/>
      <c r="N113" s="525"/>
      <c r="O113" s="544">
        <v>130</v>
      </c>
      <c r="P113" s="544">
        <v>130</v>
      </c>
      <c r="Q113" s="622">
        <f t="shared" si="6"/>
        <v>1</v>
      </c>
    </row>
    <row r="114" spans="1:17" ht="33.75" customHeight="1">
      <c r="A114" s="488"/>
      <c r="B114" s="746" t="s">
        <v>417</v>
      </c>
      <c r="C114" s="746"/>
      <c r="D114" s="746"/>
      <c r="E114" s="746"/>
      <c r="F114" s="746"/>
      <c r="G114" s="746"/>
      <c r="H114" s="757" t="s">
        <v>48</v>
      </c>
      <c r="I114" s="757"/>
      <c r="J114" s="757"/>
      <c r="K114" s="486"/>
      <c r="L114" s="532" t="e">
        <f>#REF!+#REF!+#REF!</f>
        <v>#REF!</v>
      </c>
      <c r="M114" s="532" t="e">
        <f>#REF!+#REF!+#REF!</f>
        <v>#REF!</v>
      </c>
      <c r="N114" s="532" t="e">
        <f>#REF!+#REF!+#REF!</f>
        <v>#REF!</v>
      </c>
      <c r="O114" s="543">
        <f>O115+O116+O117+O118+O119+O120+O121+O122+O123+O124+O125+O126+O128+O129+O130+O131+O132+O133+O134+O135+O127</f>
        <v>452520.51000000007</v>
      </c>
      <c r="P114" s="543">
        <f>P115+P116+P117+P118+P119+P120+P121+P122+P123+P124+P125+P126+P128+P129+P130+P131+P132+P133+P134+P135+P127</f>
        <v>440895.3900000001</v>
      </c>
      <c r="Q114" s="622">
        <f t="shared" si="6"/>
        <v>0.9743102914826999</v>
      </c>
    </row>
    <row r="115" spans="1:17" ht="99.75" customHeight="1">
      <c r="A115" s="488"/>
      <c r="B115" s="506"/>
      <c r="C115" s="506"/>
      <c r="D115" s="506"/>
      <c r="E115" s="722" t="s">
        <v>1041</v>
      </c>
      <c r="F115" s="723"/>
      <c r="G115" s="508"/>
      <c r="H115" s="718" t="s">
        <v>949</v>
      </c>
      <c r="I115" s="718"/>
      <c r="J115" s="718"/>
      <c r="K115" s="513"/>
      <c r="L115" s="519"/>
      <c r="M115" s="519"/>
      <c r="N115" s="519"/>
      <c r="O115" s="542">
        <v>136.53</v>
      </c>
      <c r="P115" s="542">
        <v>136.53</v>
      </c>
      <c r="Q115" s="622">
        <f t="shared" si="6"/>
        <v>1</v>
      </c>
    </row>
    <row r="116" spans="1:17" ht="130.5" customHeight="1">
      <c r="A116" s="488"/>
      <c r="B116" s="506"/>
      <c r="C116" s="506"/>
      <c r="D116" s="506"/>
      <c r="E116" s="722" t="s">
        <v>1042</v>
      </c>
      <c r="F116" s="723"/>
      <c r="G116" s="508"/>
      <c r="H116" s="718" t="s">
        <v>949</v>
      </c>
      <c r="I116" s="718"/>
      <c r="J116" s="718"/>
      <c r="K116" s="513"/>
      <c r="L116" s="519"/>
      <c r="M116" s="519"/>
      <c r="N116" s="519"/>
      <c r="O116" s="542">
        <v>328153.7</v>
      </c>
      <c r="P116" s="542">
        <f>326824.72-30.03</f>
        <v>326794.68999999994</v>
      </c>
      <c r="Q116" s="622">
        <f t="shared" si="6"/>
        <v>0.9958586174710202</v>
      </c>
    </row>
    <row r="117" spans="1:17" ht="125.25" customHeight="1">
      <c r="A117" s="488"/>
      <c r="B117" s="506"/>
      <c r="C117" s="506"/>
      <c r="D117" s="506"/>
      <c r="E117" s="722" t="s">
        <v>1043</v>
      </c>
      <c r="F117" s="723"/>
      <c r="G117" s="508"/>
      <c r="H117" s="718" t="s">
        <v>949</v>
      </c>
      <c r="I117" s="718"/>
      <c r="J117" s="718"/>
      <c r="K117" s="513"/>
      <c r="L117" s="519"/>
      <c r="M117" s="519"/>
      <c r="N117" s="519"/>
      <c r="O117" s="542">
        <v>35962.2</v>
      </c>
      <c r="P117" s="542">
        <v>35565.69</v>
      </c>
      <c r="Q117" s="622">
        <f t="shared" si="6"/>
        <v>0.9889742563024511</v>
      </c>
    </row>
    <row r="118" spans="1:17" ht="131.25" customHeight="1">
      <c r="A118" s="488"/>
      <c r="B118" s="506"/>
      <c r="C118" s="506"/>
      <c r="D118" s="506"/>
      <c r="E118" s="722" t="s">
        <v>1044</v>
      </c>
      <c r="F118" s="723"/>
      <c r="G118" s="508"/>
      <c r="H118" s="718" t="s">
        <v>1045</v>
      </c>
      <c r="I118" s="718"/>
      <c r="J118" s="718"/>
      <c r="K118" s="513"/>
      <c r="L118" s="519"/>
      <c r="M118" s="519"/>
      <c r="N118" s="519"/>
      <c r="O118" s="542">
        <v>9413.9</v>
      </c>
      <c r="P118" s="542">
        <v>9413.9</v>
      </c>
      <c r="Q118" s="622">
        <f t="shared" si="6"/>
        <v>1</v>
      </c>
    </row>
    <row r="119" spans="1:17" ht="117" customHeight="1">
      <c r="A119" s="488"/>
      <c r="B119" s="506"/>
      <c r="C119" s="506"/>
      <c r="D119" s="506"/>
      <c r="E119" s="722" t="s">
        <v>972</v>
      </c>
      <c r="F119" s="723"/>
      <c r="G119" s="508"/>
      <c r="H119" s="718" t="s">
        <v>1046</v>
      </c>
      <c r="I119" s="718"/>
      <c r="J119" s="718"/>
      <c r="K119" s="513"/>
      <c r="L119" s="519"/>
      <c r="M119" s="519"/>
      <c r="N119" s="519"/>
      <c r="O119" s="542">
        <v>332</v>
      </c>
      <c r="P119" s="542">
        <v>261.86</v>
      </c>
      <c r="Q119" s="622">
        <f t="shared" si="6"/>
        <v>0.7887349397590362</v>
      </c>
    </row>
    <row r="120" spans="1:17" ht="98.25" customHeight="1">
      <c r="A120" s="488"/>
      <c r="B120" s="506"/>
      <c r="C120" s="506"/>
      <c r="D120" s="506"/>
      <c r="E120" s="722" t="s">
        <v>973</v>
      </c>
      <c r="F120" s="723"/>
      <c r="G120" s="508"/>
      <c r="H120" s="718" t="s">
        <v>1047</v>
      </c>
      <c r="I120" s="718"/>
      <c r="J120" s="718"/>
      <c r="K120" s="513"/>
      <c r="L120" s="519"/>
      <c r="M120" s="519"/>
      <c r="N120" s="519"/>
      <c r="O120" s="542">
        <v>18</v>
      </c>
      <c r="P120" s="542">
        <v>18</v>
      </c>
      <c r="Q120" s="622">
        <f t="shared" si="6"/>
        <v>1</v>
      </c>
    </row>
    <row r="121" spans="1:17" ht="96.75" customHeight="1">
      <c r="A121" s="488"/>
      <c r="B121" s="506"/>
      <c r="C121" s="506"/>
      <c r="D121" s="506"/>
      <c r="E121" s="722" t="s">
        <v>942</v>
      </c>
      <c r="F121" s="723"/>
      <c r="G121" s="508"/>
      <c r="H121" s="718" t="s">
        <v>941</v>
      </c>
      <c r="I121" s="718"/>
      <c r="J121" s="718"/>
      <c r="K121" s="513"/>
      <c r="L121" s="519"/>
      <c r="M121" s="519"/>
      <c r="N121" s="519"/>
      <c r="O121" s="542">
        <v>81.6</v>
      </c>
      <c r="P121" s="542">
        <v>81.6</v>
      </c>
      <c r="Q121" s="622">
        <f t="shared" si="6"/>
        <v>1</v>
      </c>
    </row>
    <row r="122" spans="1:17" ht="119.25" customHeight="1">
      <c r="A122" s="488"/>
      <c r="B122" s="506"/>
      <c r="C122" s="506"/>
      <c r="D122" s="506"/>
      <c r="E122" s="722" t="s">
        <v>943</v>
      </c>
      <c r="F122" s="723"/>
      <c r="G122" s="508"/>
      <c r="H122" s="718" t="s">
        <v>944</v>
      </c>
      <c r="I122" s="718"/>
      <c r="J122" s="718"/>
      <c r="K122" s="513"/>
      <c r="L122" s="519"/>
      <c r="M122" s="519"/>
      <c r="N122" s="519"/>
      <c r="O122" s="542">
        <v>153.38</v>
      </c>
      <c r="P122" s="542">
        <v>153.38</v>
      </c>
      <c r="Q122" s="622">
        <f t="shared" si="6"/>
        <v>1</v>
      </c>
    </row>
    <row r="123" spans="1:17" ht="89.25" customHeight="1">
      <c r="A123" s="488"/>
      <c r="B123" s="506"/>
      <c r="C123" s="506"/>
      <c r="D123" s="506"/>
      <c r="E123" s="722" t="s">
        <v>945</v>
      </c>
      <c r="F123" s="723"/>
      <c r="G123" s="508"/>
      <c r="H123" s="718" t="s">
        <v>946</v>
      </c>
      <c r="I123" s="718"/>
      <c r="J123" s="718"/>
      <c r="K123" s="513"/>
      <c r="L123" s="519"/>
      <c r="M123" s="519"/>
      <c r="N123" s="519"/>
      <c r="O123" s="542">
        <v>1529.28</v>
      </c>
      <c r="P123" s="542">
        <v>1529.28</v>
      </c>
      <c r="Q123" s="622">
        <f t="shared" si="6"/>
        <v>1</v>
      </c>
    </row>
    <row r="124" spans="1:17" ht="103.5" customHeight="1">
      <c r="A124" s="488"/>
      <c r="B124" s="506"/>
      <c r="C124" s="506"/>
      <c r="D124" s="506"/>
      <c r="E124" s="722" t="s">
        <v>974</v>
      </c>
      <c r="F124" s="723"/>
      <c r="G124" s="508"/>
      <c r="H124" s="718" t="s">
        <v>1048</v>
      </c>
      <c r="I124" s="718"/>
      <c r="J124" s="718"/>
      <c r="K124" s="513"/>
      <c r="L124" s="519"/>
      <c r="M124" s="519"/>
      <c r="N124" s="519"/>
      <c r="O124" s="542">
        <v>139</v>
      </c>
      <c r="P124" s="542">
        <v>103.76</v>
      </c>
      <c r="Q124" s="622">
        <f t="shared" si="6"/>
        <v>0.7464748201438849</v>
      </c>
    </row>
    <row r="125" spans="1:17" ht="79.5" customHeight="1">
      <c r="A125" s="488"/>
      <c r="B125" s="506"/>
      <c r="C125" s="506"/>
      <c r="D125" s="506"/>
      <c r="E125" s="722" t="s">
        <v>975</v>
      </c>
      <c r="F125" s="723"/>
      <c r="G125" s="508"/>
      <c r="H125" s="718" t="s">
        <v>1049</v>
      </c>
      <c r="I125" s="718"/>
      <c r="J125" s="718"/>
      <c r="K125" s="513"/>
      <c r="L125" s="519"/>
      <c r="M125" s="519"/>
      <c r="N125" s="519"/>
      <c r="O125" s="542">
        <v>4698</v>
      </c>
      <c r="P125" s="542">
        <v>4698</v>
      </c>
      <c r="Q125" s="622">
        <f t="shared" si="6"/>
        <v>1</v>
      </c>
    </row>
    <row r="126" spans="1:17" ht="75.75" customHeight="1">
      <c r="A126" s="488"/>
      <c r="B126" s="506"/>
      <c r="C126" s="506"/>
      <c r="D126" s="506"/>
      <c r="E126" s="722" t="s">
        <v>976</v>
      </c>
      <c r="F126" s="723"/>
      <c r="G126" s="508"/>
      <c r="H126" s="718" t="s">
        <v>1050</v>
      </c>
      <c r="I126" s="718"/>
      <c r="J126" s="718"/>
      <c r="K126" s="513"/>
      <c r="L126" s="519"/>
      <c r="M126" s="519"/>
      <c r="N126" s="519"/>
      <c r="O126" s="542">
        <v>5089.5</v>
      </c>
      <c r="P126" s="542">
        <v>5089.5</v>
      </c>
      <c r="Q126" s="622">
        <f t="shared" si="6"/>
        <v>1</v>
      </c>
    </row>
    <row r="127" spans="1:17" ht="89.25" customHeight="1">
      <c r="A127" s="488"/>
      <c r="B127" s="506"/>
      <c r="C127" s="506"/>
      <c r="D127" s="506"/>
      <c r="E127" s="722" t="s">
        <v>939</v>
      </c>
      <c r="F127" s="723"/>
      <c r="G127" s="508"/>
      <c r="H127" s="738" t="s">
        <v>940</v>
      </c>
      <c r="I127" s="739"/>
      <c r="J127" s="740"/>
      <c r="K127" s="513"/>
      <c r="L127" s="519"/>
      <c r="M127" s="519"/>
      <c r="N127" s="519"/>
      <c r="O127" s="542">
        <v>262.45</v>
      </c>
      <c r="P127" s="542">
        <v>262.45</v>
      </c>
      <c r="Q127" s="622">
        <f t="shared" si="6"/>
        <v>1</v>
      </c>
    </row>
    <row r="128" spans="1:17" ht="115.5" customHeight="1">
      <c r="A128" s="488"/>
      <c r="B128" s="506"/>
      <c r="C128" s="506"/>
      <c r="D128" s="506"/>
      <c r="E128" s="722" t="s">
        <v>948</v>
      </c>
      <c r="F128" s="723"/>
      <c r="G128" s="508"/>
      <c r="H128" s="718" t="s">
        <v>947</v>
      </c>
      <c r="I128" s="718"/>
      <c r="J128" s="718"/>
      <c r="K128" s="513"/>
      <c r="L128" s="519"/>
      <c r="M128" s="519"/>
      <c r="N128" s="519"/>
      <c r="O128" s="542">
        <v>15115</v>
      </c>
      <c r="P128" s="542">
        <v>8780.31</v>
      </c>
      <c r="Q128" s="622">
        <f t="shared" si="6"/>
        <v>0.5809004300363877</v>
      </c>
    </row>
    <row r="129" spans="1:17" ht="107.25" customHeight="1">
      <c r="A129" s="488"/>
      <c r="B129" s="506"/>
      <c r="C129" s="506"/>
      <c r="D129" s="506"/>
      <c r="E129" s="722" t="s">
        <v>950</v>
      </c>
      <c r="F129" s="723"/>
      <c r="G129" s="508"/>
      <c r="H129" s="718" t="s">
        <v>949</v>
      </c>
      <c r="I129" s="718"/>
      <c r="J129" s="718"/>
      <c r="K129" s="513"/>
      <c r="L129" s="519"/>
      <c r="M129" s="519"/>
      <c r="N129" s="519"/>
      <c r="O129" s="542">
        <v>9612.41</v>
      </c>
      <c r="P129" s="542">
        <v>6402.58</v>
      </c>
      <c r="Q129" s="622">
        <f t="shared" si="6"/>
        <v>0.6660743767691973</v>
      </c>
    </row>
    <row r="130" spans="1:17" ht="124.5" customHeight="1">
      <c r="A130" s="488"/>
      <c r="B130" s="506"/>
      <c r="C130" s="506"/>
      <c r="D130" s="506"/>
      <c r="E130" s="722" t="s">
        <v>951</v>
      </c>
      <c r="F130" s="723"/>
      <c r="G130" s="508"/>
      <c r="H130" s="718" t="s">
        <v>949</v>
      </c>
      <c r="I130" s="718"/>
      <c r="J130" s="718"/>
      <c r="K130" s="513"/>
      <c r="L130" s="519"/>
      <c r="M130" s="519"/>
      <c r="N130" s="519"/>
      <c r="O130" s="542">
        <v>3611.6</v>
      </c>
      <c r="P130" s="542">
        <v>3391.9</v>
      </c>
      <c r="Q130" s="622">
        <f t="shared" si="6"/>
        <v>0.939168235685015</v>
      </c>
    </row>
    <row r="131" spans="1:17" ht="107.25" customHeight="1">
      <c r="A131" s="488"/>
      <c r="B131" s="506"/>
      <c r="C131" s="506"/>
      <c r="D131" s="506"/>
      <c r="E131" s="722" t="s">
        <v>1051</v>
      </c>
      <c r="F131" s="723"/>
      <c r="G131" s="508"/>
      <c r="H131" s="718" t="s">
        <v>1052</v>
      </c>
      <c r="I131" s="718"/>
      <c r="J131" s="718"/>
      <c r="K131" s="513"/>
      <c r="L131" s="519"/>
      <c r="M131" s="519"/>
      <c r="N131" s="519"/>
      <c r="O131" s="542">
        <v>2870.2</v>
      </c>
      <c r="P131" s="542">
        <v>2870.2</v>
      </c>
      <c r="Q131" s="622">
        <f t="shared" si="6"/>
        <v>1</v>
      </c>
    </row>
    <row r="132" spans="1:17" ht="114.75" customHeight="1">
      <c r="A132" s="488"/>
      <c r="B132" s="506"/>
      <c r="C132" s="506"/>
      <c r="D132" s="506"/>
      <c r="E132" s="722" t="s">
        <v>1053</v>
      </c>
      <c r="F132" s="723"/>
      <c r="G132" s="508"/>
      <c r="H132" s="718" t="s">
        <v>1054</v>
      </c>
      <c r="I132" s="718"/>
      <c r="J132" s="718"/>
      <c r="K132" s="513"/>
      <c r="L132" s="519"/>
      <c r="M132" s="519"/>
      <c r="N132" s="519"/>
      <c r="O132" s="542">
        <v>34729.3</v>
      </c>
      <c r="P132" s="542">
        <v>34729.3</v>
      </c>
      <c r="Q132" s="622">
        <f t="shared" si="6"/>
        <v>1</v>
      </c>
    </row>
    <row r="133" spans="1:17" ht="69.75" customHeight="1">
      <c r="A133" s="488"/>
      <c r="B133" s="506"/>
      <c r="C133" s="506"/>
      <c r="D133" s="506"/>
      <c r="E133" s="722" t="s">
        <v>1055</v>
      </c>
      <c r="F133" s="723"/>
      <c r="G133" s="508"/>
      <c r="H133" s="718" t="s">
        <v>949</v>
      </c>
      <c r="I133" s="718"/>
      <c r="J133" s="718"/>
      <c r="K133" s="513"/>
      <c r="L133" s="519"/>
      <c r="M133" s="519"/>
      <c r="N133" s="519"/>
      <c r="O133" s="542">
        <v>250.9</v>
      </c>
      <c r="P133" s="542">
        <v>250.9</v>
      </c>
      <c r="Q133" s="622">
        <f t="shared" si="6"/>
        <v>1</v>
      </c>
    </row>
    <row r="134" spans="1:17" ht="100.5" customHeight="1">
      <c r="A134" s="488"/>
      <c r="B134" s="506"/>
      <c r="C134" s="506"/>
      <c r="D134" s="506"/>
      <c r="E134" s="722" t="s">
        <v>1056</v>
      </c>
      <c r="F134" s="723"/>
      <c r="G134" s="508"/>
      <c r="H134" s="718" t="s">
        <v>949</v>
      </c>
      <c r="I134" s="718"/>
      <c r="J134" s="718"/>
      <c r="K134" s="513"/>
      <c r="L134" s="519"/>
      <c r="M134" s="519"/>
      <c r="N134" s="519"/>
      <c r="O134" s="542">
        <v>360.56</v>
      </c>
      <c r="P134" s="542">
        <v>360.56</v>
      </c>
      <c r="Q134" s="622">
        <f t="shared" si="6"/>
        <v>1</v>
      </c>
    </row>
    <row r="135" spans="1:17" ht="105.75" customHeight="1">
      <c r="A135" s="488"/>
      <c r="B135" s="506"/>
      <c r="C135" s="506"/>
      <c r="D135" s="506"/>
      <c r="E135" s="722" t="s">
        <v>1003</v>
      </c>
      <c r="F135" s="723"/>
      <c r="G135" s="508"/>
      <c r="H135" s="718" t="s">
        <v>1057</v>
      </c>
      <c r="I135" s="718"/>
      <c r="J135" s="718"/>
      <c r="K135" s="513"/>
      <c r="L135" s="519"/>
      <c r="M135" s="519"/>
      <c r="N135" s="519"/>
      <c r="O135" s="542">
        <v>1</v>
      </c>
      <c r="P135" s="542">
        <v>1</v>
      </c>
      <c r="Q135" s="622">
        <f t="shared" si="6"/>
        <v>1</v>
      </c>
    </row>
    <row r="136" spans="1:17" ht="12.75" customHeight="1">
      <c r="A136" s="488"/>
      <c r="B136" s="506"/>
      <c r="C136" s="506"/>
      <c r="D136" s="506"/>
      <c r="E136" s="733" t="s">
        <v>325</v>
      </c>
      <c r="F136" s="734"/>
      <c r="G136" s="486"/>
      <c r="H136" s="732" t="s">
        <v>56</v>
      </c>
      <c r="I136" s="732"/>
      <c r="J136" s="732"/>
      <c r="K136" s="534"/>
      <c r="L136" s="533" t="e">
        <f>#REF!+L146+L147+L148</f>
        <v>#REF!</v>
      </c>
      <c r="M136" s="533" t="e">
        <f>#REF!+M146+M147+M148</f>
        <v>#REF!</v>
      </c>
      <c r="N136" s="533" t="e">
        <f>#REF!+N146+N147+N148</f>
        <v>#REF!</v>
      </c>
      <c r="O136" s="543">
        <f>O138+O139+O140+O141+O142+O143+O144+O145</f>
        <v>5473.44</v>
      </c>
      <c r="P136" s="543">
        <f>P138+P139+P140+P141+P142+P143+P144+P145</f>
        <v>5438.37</v>
      </c>
      <c r="Q136" s="622">
        <f t="shared" si="6"/>
        <v>0.9935926949048497</v>
      </c>
    </row>
    <row r="137" spans="1:17" ht="12.75" customHeight="1" hidden="1">
      <c r="A137" s="488"/>
      <c r="B137" s="506"/>
      <c r="C137" s="506"/>
      <c r="D137" s="506"/>
      <c r="E137" s="730" t="s">
        <v>65</v>
      </c>
      <c r="F137" s="731"/>
      <c r="G137" s="508">
        <v>300</v>
      </c>
      <c r="H137" s="719" t="s">
        <v>956</v>
      </c>
      <c r="I137" s="720"/>
      <c r="J137" s="721"/>
      <c r="K137" s="513"/>
      <c r="L137" s="525"/>
      <c r="M137" s="525"/>
      <c r="N137" s="525"/>
      <c r="O137" s="535">
        <v>0</v>
      </c>
      <c r="P137" s="535"/>
      <c r="Q137" s="622" t="e">
        <f t="shared" si="6"/>
        <v>#DIV/0!</v>
      </c>
    </row>
    <row r="138" spans="1:17" ht="93.75" customHeight="1">
      <c r="A138" s="488"/>
      <c r="B138" s="506"/>
      <c r="C138" s="506"/>
      <c r="D138" s="506"/>
      <c r="E138" s="730" t="s">
        <v>954</v>
      </c>
      <c r="F138" s="731"/>
      <c r="G138" s="508"/>
      <c r="H138" s="719" t="s">
        <v>1058</v>
      </c>
      <c r="I138" s="720"/>
      <c r="J138" s="721"/>
      <c r="K138" s="513"/>
      <c r="L138" s="525"/>
      <c r="M138" s="525"/>
      <c r="N138" s="525"/>
      <c r="O138" s="539">
        <v>303.47</v>
      </c>
      <c r="P138" s="539">
        <f>298.37+0.03</f>
        <v>298.4</v>
      </c>
      <c r="Q138" s="622">
        <f t="shared" si="6"/>
        <v>0.9832932415065738</v>
      </c>
    </row>
    <row r="139" spans="1:17" ht="87.75" customHeight="1">
      <c r="A139" s="488"/>
      <c r="B139" s="506"/>
      <c r="C139" s="506"/>
      <c r="D139" s="506"/>
      <c r="E139" s="730" t="s">
        <v>1059</v>
      </c>
      <c r="F139" s="731"/>
      <c r="G139" s="508"/>
      <c r="H139" s="719" t="s">
        <v>1060</v>
      </c>
      <c r="I139" s="720"/>
      <c r="J139" s="721"/>
      <c r="K139" s="513"/>
      <c r="L139" s="525"/>
      <c r="M139" s="525"/>
      <c r="N139" s="525"/>
      <c r="O139" s="539">
        <v>29.9</v>
      </c>
      <c r="P139" s="539">
        <v>29.9</v>
      </c>
      <c r="Q139" s="622">
        <f t="shared" si="6"/>
        <v>1</v>
      </c>
    </row>
    <row r="140" spans="1:17" ht="112.5" customHeight="1">
      <c r="A140" s="488"/>
      <c r="B140" s="506"/>
      <c r="C140" s="506"/>
      <c r="D140" s="506"/>
      <c r="E140" s="730" t="s">
        <v>1061</v>
      </c>
      <c r="F140" s="731"/>
      <c r="G140" s="508"/>
      <c r="H140" s="719" t="s">
        <v>1062</v>
      </c>
      <c r="I140" s="720"/>
      <c r="J140" s="721"/>
      <c r="K140" s="513"/>
      <c r="L140" s="525"/>
      <c r="M140" s="525"/>
      <c r="N140" s="525"/>
      <c r="O140" s="539">
        <v>46.26</v>
      </c>
      <c r="P140" s="539">
        <v>46.26</v>
      </c>
      <c r="Q140" s="622">
        <f t="shared" si="6"/>
        <v>1</v>
      </c>
    </row>
    <row r="141" spans="1:17" ht="90" customHeight="1">
      <c r="A141" s="488"/>
      <c r="B141" s="506"/>
      <c r="C141" s="506"/>
      <c r="D141" s="506"/>
      <c r="E141" s="730" t="s">
        <v>967</v>
      </c>
      <c r="F141" s="731"/>
      <c r="G141" s="508"/>
      <c r="H141" s="719" t="s">
        <v>1063</v>
      </c>
      <c r="I141" s="720"/>
      <c r="J141" s="721"/>
      <c r="K141" s="513"/>
      <c r="L141" s="525"/>
      <c r="M141" s="525"/>
      <c r="N141" s="525"/>
      <c r="O141" s="539">
        <v>100</v>
      </c>
      <c r="P141" s="539">
        <v>100</v>
      </c>
      <c r="Q141" s="622">
        <f t="shared" si="6"/>
        <v>1</v>
      </c>
    </row>
    <row r="142" spans="1:17" ht="93" customHeight="1">
      <c r="A142" s="488"/>
      <c r="B142" s="506"/>
      <c r="C142" s="506"/>
      <c r="D142" s="506"/>
      <c r="E142" s="730" t="s">
        <v>955</v>
      </c>
      <c r="F142" s="731"/>
      <c r="G142" s="508"/>
      <c r="H142" s="719" t="s">
        <v>1058</v>
      </c>
      <c r="I142" s="720"/>
      <c r="J142" s="721"/>
      <c r="K142" s="513"/>
      <c r="L142" s="525"/>
      <c r="M142" s="525"/>
      <c r="N142" s="525"/>
      <c r="O142" s="539">
        <v>30</v>
      </c>
      <c r="P142" s="539">
        <v>0</v>
      </c>
      <c r="Q142" s="622">
        <f t="shared" si="6"/>
        <v>0</v>
      </c>
    </row>
    <row r="143" spans="1:17" ht="75.75" customHeight="1">
      <c r="A143" s="488"/>
      <c r="B143" s="506"/>
      <c r="C143" s="506"/>
      <c r="D143" s="506"/>
      <c r="E143" s="730" t="s">
        <v>953</v>
      </c>
      <c r="F143" s="731"/>
      <c r="G143" s="508"/>
      <c r="H143" s="719" t="s">
        <v>1064</v>
      </c>
      <c r="I143" s="720"/>
      <c r="J143" s="721"/>
      <c r="K143" s="513"/>
      <c r="L143" s="525"/>
      <c r="M143" s="525"/>
      <c r="N143" s="525"/>
      <c r="O143" s="539">
        <v>120.2</v>
      </c>
      <c r="P143" s="539">
        <v>120.2</v>
      </c>
      <c r="Q143" s="622">
        <f t="shared" si="6"/>
        <v>1</v>
      </c>
    </row>
    <row r="144" spans="1:17" ht="80.25" customHeight="1">
      <c r="A144" s="488"/>
      <c r="B144" s="506"/>
      <c r="C144" s="506"/>
      <c r="D144" s="506"/>
      <c r="E144" s="730" t="s">
        <v>952</v>
      </c>
      <c r="F144" s="731"/>
      <c r="G144" s="508"/>
      <c r="H144" s="719" t="s">
        <v>1058</v>
      </c>
      <c r="I144" s="720"/>
      <c r="J144" s="721"/>
      <c r="K144" s="513"/>
      <c r="L144" s="525"/>
      <c r="M144" s="525"/>
      <c r="N144" s="525"/>
      <c r="O144" s="539">
        <v>4255</v>
      </c>
      <c r="P144" s="539">
        <v>4255</v>
      </c>
      <c r="Q144" s="622">
        <f t="shared" si="6"/>
        <v>1</v>
      </c>
    </row>
    <row r="145" spans="1:17" ht="71.25" customHeight="1">
      <c r="A145" s="488"/>
      <c r="B145" s="506"/>
      <c r="C145" s="506"/>
      <c r="D145" s="506"/>
      <c r="E145" s="722" t="s">
        <v>65</v>
      </c>
      <c r="F145" s="723"/>
      <c r="G145" s="508"/>
      <c r="H145" s="719" t="s">
        <v>1069</v>
      </c>
      <c r="I145" s="727"/>
      <c r="J145" s="728"/>
      <c r="K145" s="513"/>
      <c r="L145" s="525"/>
      <c r="M145" s="525"/>
      <c r="N145" s="525"/>
      <c r="O145" s="539">
        <v>588.61</v>
      </c>
      <c r="P145" s="539">
        <v>588.61</v>
      </c>
      <c r="Q145" s="622">
        <f t="shared" si="6"/>
        <v>1</v>
      </c>
    </row>
    <row r="146" spans="1:17" ht="56.25" customHeight="1">
      <c r="A146" s="488"/>
      <c r="B146" s="506"/>
      <c r="C146" s="506"/>
      <c r="D146" s="506"/>
      <c r="E146" s="730" t="s">
        <v>326</v>
      </c>
      <c r="F146" s="731"/>
      <c r="G146" s="508">
        <v>300</v>
      </c>
      <c r="H146" s="719" t="s">
        <v>957</v>
      </c>
      <c r="I146" s="720"/>
      <c r="J146" s="721"/>
      <c r="K146" s="513"/>
      <c r="L146" s="525"/>
      <c r="M146" s="525"/>
      <c r="N146" s="525"/>
      <c r="O146" s="535">
        <v>6090</v>
      </c>
      <c r="P146" s="535">
        <v>6090</v>
      </c>
      <c r="Q146" s="622">
        <f t="shared" si="6"/>
        <v>1</v>
      </c>
    </row>
    <row r="147" spans="1:17" ht="49.5" customHeight="1">
      <c r="A147" s="488"/>
      <c r="B147" s="506"/>
      <c r="C147" s="506"/>
      <c r="D147" s="506"/>
      <c r="E147" s="730" t="s">
        <v>958</v>
      </c>
      <c r="F147" s="731"/>
      <c r="G147" s="508">
        <v>300</v>
      </c>
      <c r="H147" s="719" t="s">
        <v>959</v>
      </c>
      <c r="I147" s="720"/>
      <c r="J147" s="721"/>
      <c r="K147" s="513"/>
      <c r="L147" s="525"/>
      <c r="M147" s="525"/>
      <c r="N147" s="525"/>
      <c r="O147" s="535">
        <v>-646.4</v>
      </c>
      <c r="P147" s="535">
        <v>-703.18</v>
      </c>
      <c r="Q147" s="622">
        <f t="shared" si="6"/>
        <v>1.0878403465346533</v>
      </c>
    </row>
    <row r="148" spans="1:17" ht="21" customHeight="1">
      <c r="A148" s="488"/>
      <c r="B148" s="506"/>
      <c r="C148" s="506"/>
      <c r="D148" s="506"/>
      <c r="E148" s="737" t="s">
        <v>929</v>
      </c>
      <c r="F148" s="721"/>
      <c r="G148" s="508">
        <v>300</v>
      </c>
      <c r="H148" s="738" t="s">
        <v>997</v>
      </c>
      <c r="I148" s="739"/>
      <c r="J148" s="740"/>
      <c r="K148" s="513"/>
      <c r="L148" s="525">
        <v>2255.08</v>
      </c>
      <c r="M148" s="525"/>
      <c r="N148" s="525"/>
      <c r="O148" s="535">
        <v>2068.27</v>
      </c>
      <c r="P148" s="535">
        <v>2068.27</v>
      </c>
      <c r="Q148" s="622">
        <f t="shared" si="6"/>
        <v>1</v>
      </c>
    </row>
    <row r="149" spans="1:18" ht="32.25" customHeight="1">
      <c r="A149" s="488"/>
      <c r="B149" s="506"/>
      <c r="C149" s="506"/>
      <c r="D149" s="506"/>
      <c r="E149" s="737" t="s">
        <v>986</v>
      </c>
      <c r="F149" s="721"/>
      <c r="G149" s="508">
        <v>300</v>
      </c>
      <c r="H149" s="738" t="s">
        <v>996</v>
      </c>
      <c r="I149" s="739"/>
      <c r="J149" s="740"/>
      <c r="K149" s="526"/>
      <c r="L149" s="525"/>
      <c r="M149" s="525"/>
      <c r="N149" s="525"/>
      <c r="O149" s="535">
        <v>2449.97</v>
      </c>
      <c r="P149" s="535">
        <v>1255.87</v>
      </c>
      <c r="Q149" s="622">
        <f t="shared" si="6"/>
        <v>0.5126062768115528</v>
      </c>
      <c r="R149" s="496"/>
    </row>
    <row r="150" spans="1:17" s="487" customFormat="1" ht="21.75" customHeight="1">
      <c r="A150" s="499"/>
      <c r="B150" s="499"/>
      <c r="C150" s="499"/>
      <c r="D150" s="499"/>
      <c r="E150" s="754" t="s">
        <v>463</v>
      </c>
      <c r="F150" s="755"/>
      <c r="G150" s="755"/>
      <c r="H150" s="755"/>
      <c r="I150" s="755"/>
      <c r="J150" s="755"/>
      <c r="K150" s="756"/>
      <c r="L150" s="563" t="e">
        <f>L89+L90</f>
        <v>#REF!</v>
      </c>
      <c r="M150" s="563" t="e">
        <f>M89+M90</f>
        <v>#REF!</v>
      </c>
      <c r="N150" s="563" t="e">
        <f>N89+N90</f>
        <v>#REF!</v>
      </c>
      <c r="O150" s="541">
        <f>O89+O90+O146+O147+O149</f>
        <v>1076515.21</v>
      </c>
      <c r="P150" s="541">
        <f>P89+P90+P146+P147+P149</f>
        <v>975178.5399999999</v>
      </c>
      <c r="Q150" s="622">
        <f t="shared" si="6"/>
        <v>0.9058660118699112</v>
      </c>
    </row>
    <row r="151" spans="3:5" ht="12.75">
      <c r="C151" s="501"/>
      <c r="D151" s="502"/>
      <c r="E151" s="501"/>
    </row>
    <row r="152" spans="3:14" ht="12.75">
      <c r="C152" s="501"/>
      <c r="D152" s="502"/>
      <c r="E152" s="501"/>
      <c r="H152" s="21" t="s">
        <v>396</v>
      </c>
      <c r="L152" s="21" t="e">
        <f>L150</f>
        <v>#REF!</v>
      </c>
      <c r="M152" s="21" t="e">
        <f>M150</f>
        <v>#REF!</v>
      </c>
      <c r="N152" s="21" t="e">
        <f>N150</f>
        <v>#REF!</v>
      </c>
    </row>
    <row r="153" spans="3:16" ht="12.75">
      <c r="C153" s="501"/>
      <c r="D153" s="502"/>
      <c r="E153" s="501"/>
      <c r="H153" s="21" t="s">
        <v>461</v>
      </c>
      <c r="L153" s="21">
        <v>145871.25</v>
      </c>
      <c r="M153" s="21">
        <v>150244.1</v>
      </c>
      <c r="N153" s="21">
        <v>154754.79</v>
      </c>
      <c r="P153" s="484">
        <f>P91+P114+P97+P138+P139+P140+P141+P143+P144</f>
        <v>739993.02</v>
      </c>
    </row>
    <row r="154" spans="3:14" ht="12.75">
      <c r="C154" s="501"/>
      <c r="D154" s="502"/>
      <c r="E154" s="501"/>
      <c r="H154" s="21" t="s">
        <v>460</v>
      </c>
      <c r="L154" s="503" t="e">
        <f>L90</f>
        <v>#REF!</v>
      </c>
      <c r="M154" s="503" t="e">
        <f>M90</f>
        <v>#REF!</v>
      </c>
      <c r="N154" s="503" t="e">
        <f>N90</f>
        <v>#REF!</v>
      </c>
    </row>
    <row r="155" spans="3:14" ht="12.75">
      <c r="C155" s="501"/>
      <c r="D155" s="502"/>
      <c r="E155" s="501"/>
      <c r="H155" s="21" t="s">
        <v>398</v>
      </c>
      <c r="L155" s="496" t="e">
        <f>(L152-L153-L154)*5%</f>
        <v>#REF!</v>
      </c>
      <c r="M155" s="496" t="e">
        <f>(M152-M153-M154)*5%</f>
        <v>#REF!</v>
      </c>
      <c r="N155" s="496" t="e">
        <f>(N152-N153-N154)*5%</f>
        <v>#REF!</v>
      </c>
    </row>
    <row r="156" spans="3:14" ht="12.75">
      <c r="C156" s="501"/>
      <c r="D156" s="502"/>
      <c r="E156" s="501"/>
      <c r="L156" s="21">
        <f>(L89-L153)/2</f>
        <v>52074.66</v>
      </c>
      <c r="M156" s="21" t="e">
        <f>(M89-M153)/2</f>
        <v>#REF!</v>
      </c>
      <c r="N156" s="21" t="e">
        <f>(N89-N153)/2</f>
        <v>#REF!</v>
      </c>
    </row>
    <row r="157" spans="3:16" ht="12.75">
      <c r="C157" s="501"/>
      <c r="D157" s="502"/>
      <c r="E157" s="501"/>
      <c r="O157" s="484">
        <v>1076515.21</v>
      </c>
      <c r="P157" s="484">
        <v>975178.54</v>
      </c>
    </row>
    <row r="158" spans="3:16" ht="12.75">
      <c r="C158" s="501"/>
      <c r="D158" s="502"/>
      <c r="E158" s="501"/>
      <c r="O158" s="484">
        <f>O157-O150</f>
        <v>0</v>
      </c>
      <c r="P158" s="484">
        <f>P157-P150</f>
        <v>0</v>
      </c>
    </row>
    <row r="159" spans="3:5" ht="127.5">
      <c r="C159" s="501"/>
      <c r="D159" s="502"/>
      <c r="E159" s="501" t="s">
        <v>65</v>
      </c>
    </row>
    <row r="160" spans="3:5" ht="12.75">
      <c r="C160" s="501"/>
      <c r="D160" s="502"/>
      <c r="E160" s="501"/>
    </row>
    <row r="161" spans="3:5" ht="12.75">
      <c r="C161" s="501"/>
      <c r="D161" s="502"/>
      <c r="E161" s="501"/>
    </row>
    <row r="162" spans="3:14" ht="12.75">
      <c r="C162" s="501"/>
      <c r="D162" s="502"/>
      <c r="E162" s="501"/>
      <c r="N162" s="504"/>
    </row>
    <row r="163" spans="3:5" ht="12.75">
      <c r="C163" s="501"/>
      <c r="D163" s="502"/>
      <c r="E163" s="501"/>
    </row>
    <row r="164" spans="3:5" ht="12.75">
      <c r="C164" s="501"/>
      <c r="D164" s="502"/>
      <c r="E164" s="501"/>
    </row>
    <row r="165" spans="3:5" ht="12.75">
      <c r="C165" s="501"/>
      <c r="D165" s="502"/>
      <c r="E165" s="501"/>
    </row>
    <row r="166" spans="3:5" ht="12.75">
      <c r="C166" s="501"/>
      <c r="D166" s="502"/>
      <c r="E166" s="501"/>
    </row>
    <row r="167" spans="3:5" ht="12.75">
      <c r="C167" s="501"/>
      <c r="D167" s="502"/>
      <c r="E167" s="501"/>
    </row>
    <row r="168" spans="3:5" ht="12.75">
      <c r="C168" s="501"/>
      <c r="D168" s="502"/>
      <c r="E168" s="501"/>
    </row>
    <row r="169" spans="3:5" ht="12.75">
      <c r="C169" s="501"/>
      <c r="D169" s="502"/>
      <c r="E169" s="501"/>
    </row>
    <row r="170" spans="3:5" ht="12.75">
      <c r="C170" s="501"/>
      <c r="D170" s="502"/>
      <c r="E170" s="501"/>
    </row>
    <row r="171" spans="3:5" ht="12.75">
      <c r="C171" s="501"/>
      <c r="D171" s="502"/>
      <c r="E171" s="501"/>
    </row>
    <row r="172" spans="3:5" ht="12.75">
      <c r="C172" s="501"/>
      <c r="D172" s="502"/>
      <c r="E172" s="501"/>
    </row>
    <row r="173" spans="3:5" ht="12.75">
      <c r="C173" s="501"/>
      <c r="D173" s="502"/>
      <c r="E173" s="501"/>
    </row>
    <row r="174" spans="3:5" ht="12.75">
      <c r="C174" s="501"/>
      <c r="D174" s="502"/>
      <c r="E174" s="501"/>
    </row>
    <row r="175" spans="3:5" ht="12.75">
      <c r="C175" s="501"/>
      <c r="D175" s="502"/>
      <c r="E175" s="501"/>
    </row>
    <row r="176" spans="3:5" ht="12.75">
      <c r="C176" s="501"/>
      <c r="D176" s="502"/>
      <c r="E176" s="501"/>
    </row>
    <row r="177" spans="3:5" ht="12.75">
      <c r="C177" s="501"/>
      <c r="D177" s="502"/>
      <c r="E177" s="501"/>
    </row>
    <row r="178" spans="3:5" ht="12.75">
      <c r="C178" s="501"/>
      <c r="D178" s="502"/>
      <c r="E178" s="501"/>
    </row>
    <row r="179" spans="3:5" ht="12.75">
      <c r="C179" s="501"/>
      <c r="D179" s="502"/>
      <c r="E179" s="501"/>
    </row>
    <row r="180" spans="3:5" ht="12.75">
      <c r="C180" s="501"/>
      <c r="D180" s="502"/>
      <c r="E180" s="501"/>
    </row>
    <row r="181" spans="3:5" ht="12.75">
      <c r="C181" s="501"/>
      <c r="D181" s="502"/>
      <c r="E181" s="501"/>
    </row>
    <row r="182" spans="3:5" ht="12.75">
      <c r="C182" s="501"/>
      <c r="D182" s="502"/>
      <c r="E182" s="501"/>
    </row>
    <row r="183" spans="3:5" ht="12.75">
      <c r="C183" s="501"/>
      <c r="D183" s="502"/>
      <c r="E183" s="501"/>
    </row>
    <row r="184" spans="3:5" ht="12.75">
      <c r="C184" s="501"/>
      <c r="D184" s="502"/>
      <c r="E184" s="501"/>
    </row>
    <row r="185" spans="3:5" ht="12.75">
      <c r="C185" s="501"/>
      <c r="D185" s="502"/>
      <c r="E185" s="501"/>
    </row>
    <row r="186" spans="3:5" ht="12.75">
      <c r="C186" s="501"/>
      <c r="D186" s="502"/>
      <c r="E186" s="501"/>
    </row>
  </sheetData>
  <sheetProtection/>
  <mergeCells count="285">
    <mergeCell ref="E120:F120"/>
    <mergeCell ref="H120:J120"/>
    <mergeCell ref="E121:F121"/>
    <mergeCell ref="H121:J121"/>
    <mergeCell ref="E134:F134"/>
    <mergeCell ref="E122:F122"/>
    <mergeCell ref="H122:J122"/>
    <mergeCell ref="E123:F123"/>
    <mergeCell ref="E119:F119"/>
    <mergeCell ref="H119:J119"/>
    <mergeCell ref="E144:F144"/>
    <mergeCell ref="H144:J144"/>
    <mergeCell ref="E143:F143"/>
    <mergeCell ref="H143:J143"/>
    <mergeCell ref="E141:F141"/>
    <mergeCell ref="H141:J141"/>
    <mergeCell ref="E138:F138"/>
    <mergeCell ref="H138:J138"/>
    <mergeCell ref="E132:F132"/>
    <mergeCell ref="H132:J132"/>
    <mergeCell ref="E115:F115"/>
    <mergeCell ref="H115:J115"/>
    <mergeCell ref="E116:F116"/>
    <mergeCell ref="H116:J116"/>
    <mergeCell ref="H123:J123"/>
    <mergeCell ref="E124:F124"/>
    <mergeCell ref="H124:J124"/>
    <mergeCell ref="E125:F125"/>
    <mergeCell ref="H107:J107"/>
    <mergeCell ref="H109:J109"/>
    <mergeCell ref="E131:F131"/>
    <mergeCell ref="H131:J131"/>
    <mergeCell ref="H125:J125"/>
    <mergeCell ref="H126:J126"/>
    <mergeCell ref="E117:F117"/>
    <mergeCell ref="H117:J117"/>
    <mergeCell ref="E118:F118"/>
    <mergeCell ref="H118:J118"/>
    <mergeCell ref="H113:J113"/>
    <mergeCell ref="E100:F100"/>
    <mergeCell ref="H100:J100"/>
    <mergeCell ref="E101:F101"/>
    <mergeCell ref="H101:J101"/>
    <mergeCell ref="E102:F102"/>
    <mergeCell ref="H102:J102"/>
    <mergeCell ref="E103:F103"/>
    <mergeCell ref="H103:J103"/>
    <mergeCell ref="E113:F113"/>
    <mergeCell ref="H99:J99"/>
    <mergeCell ref="E112:F112"/>
    <mergeCell ref="H112:J112"/>
    <mergeCell ref="H110:J110"/>
    <mergeCell ref="H111:J111"/>
    <mergeCell ref="E109:F109"/>
    <mergeCell ref="E104:F104"/>
    <mergeCell ref="H104:J104"/>
    <mergeCell ref="E105:F105"/>
    <mergeCell ref="H105:J105"/>
    <mergeCell ref="E127:F127"/>
    <mergeCell ref="H127:J127"/>
    <mergeCell ref="E135:F135"/>
    <mergeCell ref="H135:J135"/>
    <mergeCell ref="E142:F142"/>
    <mergeCell ref="E139:F139"/>
    <mergeCell ref="H139:J139"/>
    <mergeCell ref="E129:F129"/>
    <mergeCell ref="H129:J129"/>
    <mergeCell ref="H134:J134"/>
    <mergeCell ref="C36:G36"/>
    <mergeCell ref="E27:F27"/>
    <mergeCell ref="E148:F148"/>
    <mergeCell ref="H148:J148"/>
    <mergeCell ref="H38:J38"/>
    <mergeCell ref="A43:G43"/>
    <mergeCell ref="H43:J43"/>
    <mergeCell ref="E44:G44"/>
    <mergeCell ref="E110:F110"/>
    <mergeCell ref="E111:F111"/>
    <mergeCell ref="H35:J35"/>
    <mergeCell ref="H27:J27"/>
    <mergeCell ref="H28:J28"/>
    <mergeCell ref="E26:F26"/>
    <mergeCell ref="H26:J26"/>
    <mergeCell ref="A33:G33"/>
    <mergeCell ref="B29:G29"/>
    <mergeCell ref="E30:F30"/>
    <mergeCell ref="H30:J30"/>
    <mergeCell ref="H19:J19"/>
    <mergeCell ref="H20:J20"/>
    <mergeCell ref="H16:J16"/>
    <mergeCell ref="H29:J29"/>
    <mergeCell ref="E25:F25"/>
    <mergeCell ref="H25:J25"/>
    <mergeCell ref="A28:G28"/>
    <mergeCell ref="E23:F23"/>
    <mergeCell ref="E17:F17"/>
    <mergeCell ref="H17:J17"/>
    <mergeCell ref="Q11:Q12"/>
    <mergeCell ref="A11:F12"/>
    <mergeCell ref="G11:G12"/>
    <mergeCell ref="H33:J33"/>
    <mergeCell ref="E19:F19"/>
    <mergeCell ref="B14:G14"/>
    <mergeCell ref="H14:J14"/>
    <mergeCell ref="E18:F18"/>
    <mergeCell ref="H18:J18"/>
    <mergeCell ref="E20:F20"/>
    <mergeCell ref="O11:O12"/>
    <mergeCell ref="E16:F16"/>
    <mergeCell ref="N11:N12"/>
    <mergeCell ref="H11:K11"/>
    <mergeCell ref="L11:L12"/>
    <mergeCell ref="H12:J12"/>
    <mergeCell ref="M11:M12"/>
    <mergeCell ref="H13:J13"/>
    <mergeCell ref="B22:G22"/>
    <mergeCell ref="H22:J22"/>
    <mergeCell ref="A13:G13"/>
    <mergeCell ref="E24:F24"/>
    <mergeCell ref="H24:J24"/>
    <mergeCell ref="A21:G21"/>
    <mergeCell ref="H21:J21"/>
    <mergeCell ref="H23:J23"/>
    <mergeCell ref="E15:F15"/>
    <mergeCell ref="H15:J15"/>
    <mergeCell ref="C37:G37"/>
    <mergeCell ref="H37:J37"/>
    <mergeCell ref="E38:F38"/>
    <mergeCell ref="H32:J32"/>
    <mergeCell ref="E31:F31"/>
    <mergeCell ref="H31:J31"/>
    <mergeCell ref="E32:F32"/>
    <mergeCell ref="E34:F34"/>
    <mergeCell ref="H34:J34"/>
    <mergeCell ref="B35:G35"/>
    <mergeCell ref="H36:J36"/>
    <mergeCell ref="H44:J44"/>
    <mergeCell ref="A41:G41"/>
    <mergeCell ref="H41:J41"/>
    <mergeCell ref="B42:G42"/>
    <mergeCell ref="H42:J42"/>
    <mergeCell ref="A39:G39"/>
    <mergeCell ref="H39:J39"/>
    <mergeCell ref="E40:F40"/>
    <mergeCell ref="H40:J40"/>
    <mergeCell ref="E47:F47"/>
    <mergeCell ref="H47:J47"/>
    <mergeCell ref="A48:G48"/>
    <mergeCell ref="H48:J48"/>
    <mergeCell ref="E45:G45"/>
    <mergeCell ref="H45:J45"/>
    <mergeCell ref="B46:G46"/>
    <mergeCell ref="H46:J46"/>
    <mergeCell ref="E51:F51"/>
    <mergeCell ref="H51:J51"/>
    <mergeCell ref="B52:G52"/>
    <mergeCell ref="H52:J52"/>
    <mergeCell ref="B49:G49"/>
    <mergeCell ref="H49:J49"/>
    <mergeCell ref="E50:F50"/>
    <mergeCell ref="H50:J50"/>
    <mergeCell ref="B55:G55"/>
    <mergeCell ref="H55:J55"/>
    <mergeCell ref="E56:F56"/>
    <mergeCell ref="H56:J56"/>
    <mergeCell ref="E53:F53"/>
    <mergeCell ref="H53:J53"/>
    <mergeCell ref="E54:F54"/>
    <mergeCell ref="H54:J54"/>
    <mergeCell ref="E59:F59"/>
    <mergeCell ref="H59:J59"/>
    <mergeCell ref="E60:F60"/>
    <mergeCell ref="H60:J60"/>
    <mergeCell ref="E57:F57"/>
    <mergeCell ref="H57:J57"/>
    <mergeCell ref="E58:F58"/>
    <mergeCell ref="H58:J58"/>
    <mergeCell ref="E65:F65"/>
    <mergeCell ref="H65:J65"/>
    <mergeCell ref="B67:G67"/>
    <mergeCell ref="H67:J67"/>
    <mergeCell ref="E68:F68"/>
    <mergeCell ref="E61:F61"/>
    <mergeCell ref="H61:J61"/>
    <mergeCell ref="E62:F62"/>
    <mergeCell ref="H62:J62"/>
    <mergeCell ref="H68:J68"/>
    <mergeCell ref="E69:F69"/>
    <mergeCell ref="H69:J69"/>
    <mergeCell ref="E71:F71"/>
    <mergeCell ref="H71:J71"/>
    <mergeCell ref="E70:F70"/>
    <mergeCell ref="H70:J70"/>
    <mergeCell ref="E74:F74"/>
    <mergeCell ref="H74:J74"/>
    <mergeCell ref="E75:F75"/>
    <mergeCell ref="H75:J75"/>
    <mergeCell ref="E72:F72"/>
    <mergeCell ref="H72:J72"/>
    <mergeCell ref="E73:F73"/>
    <mergeCell ref="H73:J73"/>
    <mergeCell ref="E78:F78"/>
    <mergeCell ref="H78:J78"/>
    <mergeCell ref="E79:F79"/>
    <mergeCell ref="H79:J79"/>
    <mergeCell ref="E76:F76"/>
    <mergeCell ref="H76:J76"/>
    <mergeCell ref="E77:F77"/>
    <mergeCell ref="H77:J77"/>
    <mergeCell ref="E84:F84"/>
    <mergeCell ref="H84:J84"/>
    <mergeCell ref="E85:F85"/>
    <mergeCell ref="H85:J85"/>
    <mergeCell ref="E80:F80"/>
    <mergeCell ref="H80:J80"/>
    <mergeCell ref="E83:F83"/>
    <mergeCell ref="H83:J83"/>
    <mergeCell ref="E81:F81"/>
    <mergeCell ref="H81:J81"/>
    <mergeCell ref="E89:F89"/>
    <mergeCell ref="H89:J89"/>
    <mergeCell ref="C92:G92"/>
    <mergeCell ref="E87:F87"/>
    <mergeCell ref="E86:F86"/>
    <mergeCell ref="H86:J86"/>
    <mergeCell ref="H87:J87"/>
    <mergeCell ref="E88:F88"/>
    <mergeCell ref="H88:J88"/>
    <mergeCell ref="A90:G90"/>
    <mergeCell ref="H90:J90"/>
    <mergeCell ref="B91:G91"/>
    <mergeCell ref="H91:J91"/>
    <mergeCell ref="H93:J93"/>
    <mergeCell ref="B97:G97"/>
    <mergeCell ref="H97:J97"/>
    <mergeCell ref="E93:F93"/>
    <mergeCell ref="E94:F94"/>
    <mergeCell ref="E98:F98"/>
    <mergeCell ref="C95:G95"/>
    <mergeCell ref="E96:F96"/>
    <mergeCell ref="H98:J98"/>
    <mergeCell ref="E150:K150"/>
    <mergeCell ref="H114:J114"/>
    <mergeCell ref="E145:F145"/>
    <mergeCell ref="H145:J145"/>
    <mergeCell ref="E146:F146"/>
    <mergeCell ref="E99:F99"/>
    <mergeCell ref="B63:G63"/>
    <mergeCell ref="H63:J63"/>
    <mergeCell ref="B64:G64"/>
    <mergeCell ref="H64:J64"/>
    <mergeCell ref="B114:G114"/>
    <mergeCell ref="E130:F130"/>
    <mergeCell ref="E107:F107"/>
    <mergeCell ref="E108:F108"/>
    <mergeCell ref="E128:F128"/>
    <mergeCell ref="E82:F82"/>
    <mergeCell ref="P11:P12"/>
    <mergeCell ref="E149:F149"/>
    <mergeCell ref="H149:J149"/>
    <mergeCell ref="E106:F106"/>
    <mergeCell ref="H106:J106"/>
    <mergeCell ref="E137:F137"/>
    <mergeCell ref="B66:G66"/>
    <mergeCell ref="H66:J66"/>
    <mergeCell ref="E133:F133"/>
    <mergeCell ref="H133:J133"/>
    <mergeCell ref="E147:F147"/>
    <mergeCell ref="H137:J137"/>
    <mergeCell ref="H146:J146"/>
    <mergeCell ref="H147:J147"/>
    <mergeCell ref="H136:J136"/>
    <mergeCell ref="E136:F136"/>
    <mergeCell ref="E140:F140"/>
    <mergeCell ref="H140:J140"/>
    <mergeCell ref="H82:J82"/>
    <mergeCell ref="H130:J130"/>
    <mergeCell ref="H142:J142"/>
    <mergeCell ref="H128:J128"/>
    <mergeCell ref="E126:F126"/>
    <mergeCell ref="H108:J108"/>
    <mergeCell ref="H94:J94"/>
    <mergeCell ref="H95:J95"/>
    <mergeCell ref="H92:J92"/>
    <mergeCell ref="H96:J96"/>
  </mergeCells>
  <printOptions/>
  <pageMargins left="0.15748031496062992" right="0.1968503937007874" top="0.2755905511811024" bottom="0.1968503937007874" header="0.31496062992125984" footer="0.15748031496062992"/>
  <pageSetup fitToHeight="3" horizontalDpi="600" verticalDpi="600" orientation="portrait" paperSize="9" scale="63" r:id="rId1"/>
  <rowBreaks count="1" manualBreakCount="1">
    <brk id="64" min="4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2:M46"/>
  <sheetViews>
    <sheetView tabSelected="1" view="pageBreakPreview" zoomScale="60" zoomScaleNormal="73" zoomScalePageLayoutView="0" workbookViewId="0" topLeftCell="A1">
      <selection activeCell="H12" sqref="H12"/>
    </sheetView>
  </sheetViews>
  <sheetFormatPr defaultColWidth="9.140625" defaultRowHeight="12.75"/>
  <cols>
    <col min="1" max="1" width="49.28125" style="28" customWidth="1"/>
    <col min="2" max="2" width="23.140625" style="28" customWidth="1"/>
    <col min="3" max="3" width="20.28125" style="28" customWidth="1"/>
    <col min="4" max="4" width="12.57421875" style="28" hidden="1" customWidth="1"/>
    <col min="5" max="6" width="16.421875" style="28" hidden="1" customWidth="1"/>
    <col min="7" max="7" width="17.140625" style="28" customWidth="1"/>
    <col min="8" max="8" width="16.28125" style="28" customWidth="1"/>
    <col min="9" max="9" width="15.140625" style="28" bestFit="1" customWidth="1"/>
    <col min="10" max="11" width="9.140625" style="28" customWidth="1"/>
    <col min="12" max="12" width="15.140625" style="28" bestFit="1" customWidth="1"/>
    <col min="13" max="16384" width="9.140625" style="28" customWidth="1"/>
  </cols>
  <sheetData>
    <row r="2" ht="15.75">
      <c r="G2" s="82" t="s">
        <v>204</v>
      </c>
    </row>
    <row r="3" ht="15.75">
      <c r="G3" s="82" t="s">
        <v>356</v>
      </c>
    </row>
    <row r="4" ht="15.75">
      <c r="G4" s="82" t="s">
        <v>500</v>
      </c>
    </row>
    <row r="5" spans="1:7" ht="15.75">
      <c r="A5" s="110" t="s">
        <v>211</v>
      </c>
      <c r="G5" s="82" t="s">
        <v>501</v>
      </c>
    </row>
    <row r="6" ht="15.75">
      <c r="A6" s="110" t="s">
        <v>91</v>
      </c>
    </row>
    <row r="7" ht="15.75">
      <c r="A7" s="111"/>
    </row>
    <row r="8" ht="15.75">
      <c r="A8" s="111"/>
    </row>
    <row r="9" spans="1:9" ht="42" customHeight="1">
      <c r="A9" s="653" t="s">
        <v>261</v>
      </c>
      <c r="B9" s="653" t="s">
        <v>464</v>
      </c>
      <c r="C9" s="653"/>
      <c r="D9" s="654">
        <v>2015</v>
      </c>
      <c r="E9" s="655" t="s">
        <v>72</v>
      </c>
      <c r="F9" s="655" t="s">
        <v>79</v>
      </c>
      <c r="G9" s="654" t="s">
        <v>1017</v>
      </c>
      <c r="H9" s="654" t="s">
        <v>1010</v>
      </c>
      <c r="I9" s="654" t="s">
        <v>1018</v>
      </c>
    </row>
    <row r="10" spans="1:9" s="112" customFormat="1" ht="42" customHeight="1">
      <c r="A10" s="653"/>
      <c r="B10" s="252" t="s">
        <v>465</v>
      </c>
      <c r="C10" s="252" t="s">
        <v>232</v>
      </c>
      <c r="D10" s="654"/>
      <c r="E10" s="655"/>
      <c r="F10" s="655"/>
      <c r="G10" s="654"/>
      <c r="H10" s="654"/>
      <c r="I10" s="654"/>
    </row>
    <row r="11" spans="1:9" s="27" customFormat="1" ht="48" customHeight="1">
      <c r="A11" s="113" t="s">
        <v>466</v>
      </c>
      <c r="B11" s="114" t="s">
        <v>95</v>
      </c>
      <c r="C11" s="114" t="s">
        <v>369</v>
      </c>
      <c r="D11" s="220">
        <f>D14+D19+D25+D12</f>
        <v>8413.740000000014</v>
      </c>
      <c r="E11" s="220">
        <f>E14+E19+E25+E12</f>
        <v>-16334</v>
      </c>
      <c r="F11" s="220">
        <f>F14+F19+F25+F12</f>
        <v>-13500</v>
      </c>
      <c r="G11" s="220">
        <f>G14+G19+G25+G12</f>
        <v>18310.110000000008</v>
      </c>
      <c r="H11" s="220">
        <f>H14+H19+H25+H12</f>
        <v>-49275.33300000001</v>
      </c>
      <c r="I11" s="597">
        <v>0</v>
      </c>
    </row>
    <row r="12" spans="1:9" s="27" customFormat="1" ht="48" customHeight="1">
      <c r="A12" s="113" t="s">
        <v>97</v>
      </c>
      <c r="B12" s="114" t="s">
        <v>96</v>
      </c>
      <c r="C12" s="114" t="s">
        <v>434</v>
      </c>
      <c r="D12" s="220">
        <f>D13</f>
        <v>667</v>
      </c>
      <c r="E12" s="220">
        <f>E13</f>
        <v>666</v>
      </c>
      <c r="F12" s="220">
        <f>F13</f>
        <v>0</v>
      </c>
      <c r="G12" s="220">
        <f>G13</f>
        <v>708</v>
      </c>
      <c r="H12" s="220">
        <f>H13</f>
        <v>708</v>
      </c>
      <c r="I12" s="597">
        <f>H12/G12</f>
        <v>1</v>
      </c>
    </row>
    <row r="13" spans="1:9" s="27" customFormat="1" ht="102" customHeight="1">
      <c r="A13" s="113" t="s">
        <v>98</v>
      </c>
      <c r="B13" s="114" t="s">
        <v>84</v>
      </c>
      <c r="C13" s="114" t="s">
        <v>85</v>
      </c>
      <c r="D13" s="189">
        <v>667</v>
      </c>
      <c r="E13" s="189">
        <v>666</v>
      </c>
      <c r="F13" s="189">
        <v>0</v>
      </c>
      <c r="G13" s="189">
        <v>708</v>
      </c>
      <c r="H13" s="189">
        <v>708</v>
      </c>
      <c r="I13" s="597">
        <f aca="true" t="shared" si="0" ref="I13:I31">H13/G13</f>
        <v>1</v>
      </c>
    </row>
    <row r="14" spans="1:9" s="27" customFormat="1" ht="48" customHeight="1">
      <c r="A14" s="113" t="s">
        <v>99</v>
      </c>
      <c r="B14" s="114" t="s">
        <v>365</v>
      </c>
      <c r="C14" s="114" t="s">
        <v>369</v>
      </c>
      <c r="D14" s="254">
        <f>D15+D17</f>
        <v>0</v>
      </c>
      <c r="E14" s="254">
        <f>E15+E17</f>
        <v>-11500</v>
      </c>
      <c r="F14" s="254">
        <f>F15+F17</f>
        <v>-11500</v>
      </c>
      <c r="G14" s="254">
        <f>G15+G17</f>
        <v>7000</v>
      </c>
      <c r="H14" s="254">
        <f>H15+H17</f>
        <v>15000</v>
      </c>
      <c r="I14" s="597">
        <f t="shared" si="0"/>
        <v>2.142857142857143</v>
      </c>
    </row>
    <row r="15" spans="1:9" s="27" customFormat="1" ht="50.25" customHeight="1">
      <c r="A15" s="113" t="s">
        <v>100</v>
      </c>
      <c r="B15" s="114" t="s">
        <v>365</v>
      </c>
      <c r="C15" s="114" t="s">
        <v>367</v>
      </c>
      <c r="D15" s="254">
        <f>D16</f>
        <v>0</v>
      </c>
      <c r="E15" s="254">
        <f>E16</f>
        <v>0</v>
      </c>
      <c r="F15" s="254">
        <f>F16</f>
        <v>0</v>
      </c>
      <c r="G15" s="254">
        <f>G16</f>
        <v>15000</v>
      </c>
      <c r="H15" s="254">
        <f>H16</f>
        <v>15000</v>
      </c>
      <c r="I15" s="597">
        <f t="shared" si="0"/>
        <v>1</v>
      </c>
    </row>
    <row r="16" spans="1:9" s="27" customFormat="1" ht="60.75" customHeight="1">
      <c r="A16" s="113" t="s">
        <v>101</v>
      </c>
      <c r="B16" s="114" t="s">
        <v>366</v>
      </c>
      <c r="C16" s="114" t="s">
        <v>368</v>
      </c>
      <c r="D16" s="255">
        <v>0</v>
      </c>
      <c r="E16" s="255">
        <v>0</v>
      </c>
      <c r="F16" s="255">
        <v>0</v>
      </c>
      <c r="G16" s="255">
        <v>15000</v>
      </c>
      <c r="H16" s="255">
        <v>15000</v>
      </c>
      <c r="I16" s="597">
        <f t="shared" si="0"/>
        <v>1</v>
      </c>
    </row>
    <row r="17" spans="1:9" s="27" customFormat="1" ht="67.5" customHeight="1">
      <c r="A17" s="113" t="s">
        <v>102</v>
      </c>
      <c r="B17" s="114" t="s">
        <v>365</v>
      </c>
      <c r="C17" s="114" t="s">
        <v>363</v>
      </c>
      <c r="D17" s="189">
        <f>D18</f>
        <v>0</v>
      </c>
      <c r="E17" s="189">
        <f>E18</f>
        <v>-11500</v>
      </c>
      <c r="F17" s="189">
        <f>F18</f>
        <v>-11500</v>
      </c>
      <c r="G17" s="189">
        <f>G18</f>
        <v>-8000</v>
      </c>
      <c r="H17" s="189">
        <f>H18</f>
        <v>0</v>
      </c>
      <c r="I17" s="597">
        <f t="shared" si="0"/>
        <v>0</v>
      </c>
    </row>
    <row r="18" spans="1:9" s="27" customFormat="1" ht="62.25" customHeight="1">
      <c r="A18" s="113" t="s">
        <v>103</v>
      </c>
      <c r="B18" s="114" t="s">
        <v>366</v>
      </c>
      <c r="C18" s="114" t="s">
        <v>364</v>
      </c>
      <c r="D18" s="189">
        <v>0</v>
      </c>
      <c r="E18" s="189">
        <v>-11500</v>
      </c>
      <c r="F18" s="189">
        <v>-11500</v>
      </c>
      <c r="G18" s="189">
        <v>-8000</v>
      </c>
      <c r="H18" s="189">
        <v>0</v>
      </c>
      <c r="I18" s="597">
        <f t="shared" si="0"/>
        <v>0</v>
      </c>
    </row>
    <row r="19" spans="1:9" s="27" customFormat="1" ht="48" customHeight="1">
      <c r="A19" s="116" t="s">
        <v>104</v>
      </c>
      <c r="B19" s="114" t="s">
        <v>371</v>
      </c>
      <c r="C19" s="114" t="s">
        <v>369</v>
      </c>
      <c r="D19" s="115">
        <f>D20+D22</f>
        <v>-4119.9</v>
      </c>
      <c r="E19" s="254">
        <f>E20+E22</f>
        <v>-5500</v>
      </c>
      <c r="F19" s="254">
        <f>F20+F22</f>
        <v>-2000</v>
      </c>
      <c r="G19" s="115">
        <f>G20+G22</f>
        <v>-4119.9</v>
      </c>
      <c r="H19" s="115">
        <f>H20+H22</f>
        <v>-4119.943</v>
      </c>
      <c r="I19" s="597">
        <f t="shared" si="0"/>
        <v>1.0000104371465328</v>
      </c>
    </row>
    <row r="20" spans="1:9" s="27" customFormat="1" ht="66.75" customHeight="1">
      <c r="A20" s="116" t="s">
        <v>105</v>
      </c>
      <c r="B20" s="114" t="s">
        <v>108</v>
      </c>
      <c r="C20" s="114" t="s">
        <v>367</v>
      </c>
      <c r="D20" s="115">
        <f>D21</f>
        <v>0</v>
      </c>
      <c r="E20" s="254">
        <f>E21</f>
        <v>0</v>
      </c>
      <c r="F20" s="254">
        <f>F21</f>
        <v>0</v>
      </c>
      <c r="G20" s="115">
        <f>G21</f>
        <v>0</v>
      </c>
      <c r="H20" s="115">
        <f>H21</f>
        <v>0</v>
      </c>
      <c r="I20" s="597">
        <v>0</v>
      </c>
    </row>
    <row r="21" spans="1:9" s="27" customFormat="1" ht="84" customHeight="1">
      <c r="A21" s="116" t="s">
        <v>106</v>
      </c>
      <c r="B21" s="114" t="s">
        <v>110</v>
      </c>
      <c r="C21" s="114" t="s">
        <v>368</v>
      </c>
      <c r="D21" s="115">
        <v>0</v>
      </c>
      <c r="E21" s="254">
        <v>0</v>
      </c>
      <c r="F21" s="254">
        <v>0</v>
      </c>
      <c r="G21" s="115">
        <v>0</v>
      </c>
      <c r="H21" s="115">
        <v>0</v>
      </c>
      <c r="I21" s="597">
        <v>0</v>
      </c>
    </row>
    <row r="22" spans="1:9" s="27" customFormat="1" ht="95.25" customHeight="1">
      <c r="A22" s="116" t="s">
        <v>107</v>
      </c>
      <c r="B22" s="114" t="s">
        <v>108</v>
      </c>
      <c r="C22" s="114" t="s">
        <v>363</v>
      </c>
      <c r="D22" s="115">
        <f>D23</f>
        <v>-4119.9</v>
      </c>
      <c r="E22" s="254">
        <f>E23</f>
        <v>-5500</v>
      </c>
      <c r="F22" s="254">
        <f>F23</f>
        <v>-2000</v>
      </c>
      <c r="G22" s="254">
        <f>G23</f>
        <v>-4119.9</v>
      </c>
      <c r="H22" s="254">
        <f>H23</f>
        <v>-4119.943</v>
      </c>
      <c r="I22" s="597">
        <f t="shared" si="0"/>
        <v>1.0000104371465328</v>
      </c>
    </row>
    <row r="23" spans="1:9" s="27" customFormat="1" ht="63" customHeight="1">
      <c r="A23" s="116" t="s">
        <v>109</v>
      </c>
      <c r="B23" s="114" t="s">
        <v>110</v>
      </c>
      <c r="C23" s="114" t="s">
        <v>364</v>
      </c>
      <c r="D23" s="115">
        <v>-4119.9</v>
      </c>
      <c r="E23" s="254">
        <f>-5500</f>
        <v>-5500</v>
      </c>
      <c r="F23" s="254">
        <f>-2000</f>
        <v>-2000</v>
      </c>
      <c r="G23" s="254">
        <v>-4119.9</v>
      </c>
      <c r="H23" s="254">
        <v>-4119.943</v>
      </c>
      <c r="I23" s="597">
        <f t="shared" si="0"/>
        <v>1.0000104371465328</v>
      </c>
    </row>
    <row r="24" spans="1:9" s="27" customFormat="1" ht="48" customHeight="1" hidden="1">
      <c r="A24" s="116" t="s">
        <v>111</v>
      </c>
      <c r="B24" s="114" t="s">
        <v>430</v>
      </c>
      <c r="C24" s="114" t="s">
        <v>369</v>
      </c>
      <c r="D24" s="254">
        <f>D25</f>
        <v>11866.640000000014</v>
      </c>
      <c r="E24" s="254">
        <f>E25</f>
        <v>0</v>
      </c>
      <c r="F24" s="254">
        <f>F25</f>
        <v>0</v>
      </c>
      <c r="G24" s="254">
        <f>G25</f>
        <v>14722.01000000001</v>
      </c>
      <c r="H24" s="254"/>
      <c r="I24" s="597">
        <f t="shared" si="0"/>
        <v>0</v>
      </c>
    </row>
    <row r="25" spans="1:9" s="27" customFormat="1" ht="33.75" customHeight="1">
      <c r="A25" s="116" t="s">
        <v>426</v>
      </c>
      <c r="B25" s="114" t="s">
        <v>430</v>
      </c>
      <c r="C25" s="114" t="s">
        <v>369</v>
      </c>
      <c r="D25" s="254">
        <f>D26+D29</f>
        <v>11866.640000000014</v>
      </c>
      <c r="E25" s="254">
        <f>E26+E29</f>
        <v>0</v>
      </c>
      <c r="F25" s="254">
        <f>F26+F29</f>
        <v>0</v>
      </c>
      <c r="G25" s="254">
        <f>G26+G29</f>
        <v>14722.01000000001</v>
      </c>
      <c r="H25" s="254">
        <f>H26+H29</f>
        <v>-60863.390000000014</v>
      </c>
      <c r="I25" s="597">
        <v>0</v>
      </c>
    </row>
    <row r="26" spans="1:12" s="27" customFormat="1" ht="35.25" customHeight="1">
      <c r="A26" s="116" t="s">
        <v>112</v>
      </c>
      <c r="B26" s="114" t="s">
        <v>431</v>
      </c>
      <c r="C26" s="114" t="s">
        <v>482</v>
      </c>
      <c r="D26" s="254">
        <f aca="true" t="shared" si="1" ref="D26:F27">D27</f>
        <v>-759989.15</v>
      </c>
      <c r="E26" s="254">
        <f t="shared" si="1"/>
        <v>-746661.7</v>
      </c>
      <c r="F26" s="254">
        <f t="shared" si="1"/>
        <v>-825339.6</v>
      </c>
      <c r="G26" s="254">
        <f>G27</f>
        <v>-1092223.1</v>
      </c>
      <c r="H26" s="254">
        <f>H27</f>
        <v>-1007634.03</v>
      </c>
      <c r="I26" s="597">
        <f t="shared" si="0"/>
        <v>0.9225533043569578</v>
      </c>
      <c r="L26" s="585"/>
    </row>
    <row r="27" spans="1:12" s="27" customFormat="1" ht="36.75" customHeight="1">
      <c r="A27" s="116" t="s">
        <v>427</v>
      </c>
      <c r="B27" s="114" t="s">
        <v>432</v>
      </c>
      <c r="C27" s="114" t="s">
        <v>468</v>
      </c>
      <c r="D27" s="254">
        <f>D28</f>
        <v>-759989.15</v>
      </c>
      <c r="E27" s="254">
        <f t="shared" si="1"/>
        <v>-746661.7</v>
      </c>
      <c r="F27" s="254">
        <f t="shared" si="1"/>
        <v>-825339.6</v>
      </c>
      <c r="G27" s="254">
        <f>G28</f>
        <v>-1092223.1</v>
      </c>
      <c r="H27" s="254">
        <f>H28</f>
        <v>-1007634.03</v>
      </c>
      <c r="I27" s="597">
        <f t="shared" si="0"/>
        <v>0.9225533043569578</v>
      </c>
      <c r="L27" s="585"/>
    </row>
    <row r="28" spans="1:9" s="27" customFormat="1" ht="42" customHeight="1">
      <c r="A28" s="116" t="s">
        <v>428</v>
      </c>
      <c r="B28" s="114" t="s">
        <v>433</v>
      </c>
      <c r="C28" s="114" t="s">
        <v>468</v>
      </c>
      <c r="D28" s="257">
        <v>-759989.15</v>
      </c>
      <c r="E28" s="257">
        <v>-746661.7</v>
      </c>
      <c r="F28" s="257">
        <v>-825339.6</v>
      </c>
      <c r="G28" s="257">
        <f>-1092034.5-188.6</f>
        <v>-1092223.1</v>
      </c>
      <c r="H28" s="257">
        <v>-1007634.03</v>
      </c>
      <c r="I28" s="597">
        <f t="shared" si="0"/>
        <v>0.9225533043569578</v>
      </c>
    </row>
    <row r="29" spans="1:9" s="27" customFormat="1" ht="40.5" customHeight="1">
      <c r="A29" s="117" t="s">
        <v>113</v>
      </c>
      <c r="B29" s="114" t="s">
        <v>431</v>
      </c>
      <c r="C29" s="114" t="s">
        <v>434</v>
      </c>
      <c r="D29" s="115">
        <f aca="true" t="shared" si="2" ref="D29:H30">D30</f>
        <v>771855.79</v>
      </c>
      <c r="E29" s="115">
        <f t="shared" si="2"/>
        <v>746661.7</v>
      </c>
      <c r="F29" s="115">
        <f t="shared" si="2"/>
        <v>825339.6</v>
      </c>
      <c r="G29" s="254">
        <f>G30</f>
        <v>1106945.11</v>
      </c>
      <c r="H29" s="254">
        <f>H30</f>
        <v>946770.64</v>
      </c>
      <c r="I29" s="597">
        <f t="shared" si="0"/>
        <v>0.8553004403262596</v>
      </c>
    </row>
    <row r="30" spans="1:9" s="27" customFormat="1" ht="36" customHeight="1">
      <c r="A30" s="117" t="s">
        <v>467</v>
      </c>
      <c r="B30" s="114" t="s">
        <v>432</v>
      </c>
      <c r="C30" s="114" t="s">
        <v>469</v>
      </c>
      <c r="D30" s="115">
        <f t="shared" si="2"/>
        <v>771855.79</v>
      </c>
      <c r="E30" s="115">
        <f t="shared" si="2"/>
        <v>746661.7</v>
      </c>
      <c r="F30" s="115">
        <f t="shared" si="2"/>
        <v>825339.6</v>
      </c>
      <c r="G30" s="254">
        <f t="shared" si="2"/>
        <v>1106945.11</v>
      </c>
      <c r="H30" s="254">
        <f t="shared" si="2"/>
        <v>946770.64</v>
      </c>
      <c r="I30" s="597">
        <f t="shared" si="0"/>
        <v>0.8553004403262596</v>
      </c>
    </row>
    <row r="31" spans="1:9" s="27" customFormat="1" ht="40.5" customHeight="1">
      <c r="A31" s="117" t="s">
        <v>429</v>
      </c>
      <c r="B31" s="114" t="s">
        <v>433</v>
      </c>
      <c r="C31" s="114" t="s">
        <v>469</v>
      </c>
      <c r="D31" s="115">
        <v>771855.79</v>
      </c>
      <c r="E31" s="115">
        <v>746661.7</v>
      </c>
      <c r="F31" s="115">
        <v>825339.6</v>
      </c>
      <c r="G31" s="254">
        <v>1106945.11</v>
      </c>
      <c r="H31" s="254">
        <v>946770.64</v>
      </c>
      <c r="I31" s="597">
        <f t="shared" si="0"/>
        <v>0.8553004403262596</v>
      </c>
    </row>
    <row r="32" ht="15.75">
      <c r="A32" s="118"/>
    </row>
    <row r="33" ht="15.75">
      <c r="A33" s="118"/>
    </row>
    <row r="34" spans="1:13" ht="15.75">
      <c r="A34" s="118"/>
      <c r="C34" s="258"/>
      <c r="D34" s="259">
        <f>D11-D25</f>
        <v>-3452.8999999999996</v>
      </c>
      <c r="E34" s="259">
        <f>E11-E25</f>
        <v>-16334</v>
      </c>
      <c r="F34" s="259">
        <f>F11-F25</f>
        <v>-13500</v>
      </c>
      <c r="G34" s="259">
        <f>G11-G25</f>
        <v>3588.0999999999985</v>
      </c>
      <c r="M34" s="259"/>
    </row>
    <row r="35" spans="1:3" ht="15.75">
      <c r="A35" s="118"/>
      <c r="C35" s="258"/>
    </row>
    <row r="36" spans="1:7" ht="15.75">
      <c r="A36" s="118"/>
      <c r="C36" s="260"/>
      <c r="D36" s="261"/>
      <c r="G36" s="261"/>
    </row>
    <row r="37" spans="1:7" ht="15.75">
      <c r="A37" s="118"/>
      <c r="B37" s="28" t="s">
        <v>396</v>
      </c>
      <c r="C37" s="261">
        <f>'прил_1  '!O150</f>
        <v>1076515.21</v>
      </c>
      <c r="D37" s="259"/>
      <c r="G37" s="259"/>
    </row>
    <row r="38" spans="1:13" ht="15.75">
      <c r="A38" s="118"/>
      <c r="B38" s="28" t="s">
        <v>86</v>
      </c>
      <c r="C38" s="28">
        <f>'прил_1  '!O90</f>
        <v>847423.6399999999</v>
      </c>
      <c r="M38" s="259"/>
    </row>
    <row r="39" spans="1:5" ht="15.75">
      <c r="A39" s="118"/>
      <c r="B39" s="28" t="s">
        <v>87</v>
      </c>
      <c r="C39" s="28">
        <v>110104.39</v>
      </c>
      <c r="E39" s="28">
        <v>738464.99</v>
      </c>
    </row>
    <row r="40" spans="1:7" ht="15.75">
      <c r="A40" s="118"/>
      <c r="C40" s="261">
        <f>C37-C38-C39</f>
        <v>118987.18000000007</v>
      </c>
      <c r="G40" s="477"/>
    </row>
    <row r="41" spans="1:5" ht="15.75">
      <c r="A41" s="118"/>
      <c r="E41" s="28">
        <f>E31-E39</f>
        <v>8196.709999999963</v>
      </c>
    </row>
    <row r="42" spans="2:7" ht="15.75">
      <c r="B42" s="28" t="s">
        <v>88</v>
      </c>
      <c r="C42" s="262">
        <f>G11/C40</f>
        <v>0.15388304857716603</v>
      </c>
      <c r="G42" s="586">
        <f>G34/C40</f>
        <v>0.03015534950908154</v>
      </c>
    </row>
    <row r="43" ht="15.75">
      <c r="A43" s="118"/>
    </row>
    <row r="44" spans="1:2" ht="15.75">
      <c r="A44" s="118"/>
      <c r="B44" s="28" t="s">
        <v>987</v>
      </c>
    </row>
    <row r="45" ht="15.75">
      <c r="A45" s="118"/>
    </row>
    <row r="46" ht="15.75">
      <c r="A46" s="118"/>
    </row>
  </sheetData>
  <sheetProtection/>
  <mergeCells count="8">
    <mergeCell ref="H9:H10"/>
    <mergeCell ref="I9:I10"/>
    <mergeCell ref="F9:F10"/>
    <mergeCell ref="A9:A10"/>
    <mergeCell ref="B9:C9"/>
    <mergeCell ref="D9:D10"/>
    <mergeCell ref="E9:E10"/>
    <mergeCell ref="G9:G10"/>
  </mergeCells>
  <printOptions/>
  <pageMargins left="0.75" right="0.75" top="0.48" bottom="0.4" header="0.5" footer="0.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DU114"/>
  <sheetViews>
    <sheetView view="pageBreakPreview" zoomScale="60" zoomScaleNormal="75" zoomScalePageLayoutView="0" workbookViewId="0" topLeftCell="A72">
      <selection activeCell="K79" sqref="K79"/>
    </sheetView>
  </sheetViews>
  <sheetFormatPr defaultColWidth="9.140625" defaultRowHeight="12.75" outlineLevelRow="2"/>
  <cols>
    <col min="1" max="1" width="45.8515625" style="47" customWidth="1"/>
    <col min="2" max="2" width="14.57421875" style="71" customWidth="1"/>
    <col min="3" max="3" width="13.28125" style="71" customWidth="1"/>
    <col min="4" max="4" width="12.140625" style="71" customWidth="1"/>
    <col min="5" max="5" width="13.00390625" style="71" hidden="1" customWidth="1"/>
    <col min="6" max="6" width="12.57421875" style="71" hidden="1" customWidth="1"/>
    <col min="7" max="7" width="15.421875" style="54" hidden="1" customWidth="1"/>
    <col min="8" max="8" width="16.00390625" style="54" hidden="1" customWidth="1"/>
    <col min="9" max="9" width="19.140625" style="54" hidden="1" customWidth="1"/>
    <col min="10" max="10" width="16.8515625" style="54" bestFit="1" customWidth="1"/>
    <col min="11" max="11" width="16.8515625" style="54" customWidth="1"/>
    <col min="12" max="12" width="21.8515625" style="66" customWidth="1"/>
    <col min="13" max="13" width="15.7109375" style="54" bestFit="1" customWidth="1"/>
    <col min="14" max="14" width="23.00390625" style="54" customWidth="1"/>
    <col min="15" max="15" width="16.421875" style="54" customWidth="1"/>
    <col min="16" max="16" width="14.7109375" style="54" customWidth="1"/>
    <col min="17" max="16384" width="9.140625" style="54" customWidth="1"/>
  </cols>
  <sheetData>
    <row r="1" spans="1:125" s="58" customFormat="1" ht="15">
      <c r="A1" s="57"/>
      <c r="B1" s="70"/>
      <c r="C1" s="70"/>
      <c r="D1" s="82" t="s">
        <v>205</v>
      </c>
      <c r="F1" s="70"/>
      <c r="DS1" s="59"/>
      <c r="DT1" s="59"/>
      <c r="DU1" s="59"/>
    </row>
    <row r="2" spans="1:125" s="58" customFormat="1" ht="15">
      <c r="A2" s="57"/>
      <c r="B2" s="70"/>
      <c r="C2" s="70"/>
      <c r="D2" s="82" t="s">
        <v>356</v>
      </c>
      <c r="F2" s="70"/>
      <c r="AJ2" s="60"/>
      <c r="CL2" s="60"/>
      <c r="CM2" s="60"/>
      <c r="DS2" s="59"/>
      <c r="DT2" s="59"/>
      <c r="DU2" s="59"/>
    </row>
    <row r="3" spans="1:125" s="58" customFormat="1" ht="15">
      <c r="A3" s="57"/>
      <c r="B3" s="70"/>
      <c r="C3" s="70"/>
      <c r="D3" s="82" t="s">
        <v>500</v>
      </c>
      <c r="F3" s="70"/>
      <c r="AJ3" s="60"/>
      <c r="CL3" s="60"/>
      <c r="CM3" s="60"/>
      <c r="DS3" s="59"/>
      <c r="DT3" s="59"/>
      <c r="DU3" s="59"/>
    </row>
    <row r="4" spans="1:125" s="58" customFormat="1" ht="15">
      <c r="A4" s="57"/>
      <c r="B4" s="70"/>
      <c r="C4" s="70"/>
      <c r="D4" s="82" t="s">
        <v>501</v>
      </c>
      <c r="F4" s="70"/>
      <c r="AJ4" s="60"/>
      <c r="CL4" s="60"/>
      <c r="CM4" s="60"/>
      <c r="DS4" s="59"/>
      <c r="DT4" s="59"/>
      <c r="DU4" s="59"/>
    </row>
    <row r="5" spans="1:125" s="58" customFormat="1" ht="15">
      <c r="A5" s="57"/>
      <c r="B5" s="70"/>
      <c r="C5" s="70"/>
      <c r="D5" s="70"/>
      <c r="E5" s="82"/>
      <c r="F5" s="70"/>
      <c r="AJ5" s="60"/>
      <c r="CL5" s="60"/>
      <c r="CM5" s="60"/>
      <c r="DS5" s="59"/>
      <c r="DT5" s="59"/>
      <c r="DU5" s="59"/>
    </row>
    <row r="6" spans="1:125" s="58" customFormat="1" ht="56.25" customHeight="1">
      <c r="A6" s="803" t="s">
        <v>1020</v>
      </c>
      <c r="B6" s="803"/>
      <c r="C6" s="803"/>
      <c r="D6" s="803"/>
      <c r="E6" s="803"/>
      <c r="F6" s="70"/>
      <c r="AJ6" s="60"/>
      <c r="CL6" s="60"/>
      <c r="CM6" s="60"/>
      <c r="DS6" s="59"/>
      <c r="DT6" s="59"/>
      <c r="DU6" s="59"/>
    </row>
    <row r="7" spans="1:125" s="58" customFormat="1" ht="15">
      <c r="A7" s="610"/>
      <c r="B7" s="70"/>
      <c r="C7" s="70"/>
      <c r="D7" s="70"/>
      <c r="E7" s="70"/>
      <c r="F7" s="70"/>
      <c r="AJ7" s="60"/>
      <c r="CL7" s="60"/>
      <c r="CM7" s="60"/>
      <c r="DS7" s="59"/>
      <c r="DT7" s="59"/>
      <c r="DU7" s="59"/>
    </row>
    <row r="8" spans="1:125" s="58" customFormat="1" ht="15">
      <c r="A8" s="57"/>
      <c r="B8" s="70"/>
      <c r="C8" s="70"/>
      <c r="D8" s="70"/>
      <c r="E8" s="70"/>
      <c r="F8" s="70"/>
      <c r="AJ8" s="60"/>
      <c r="CL8" s="60"/>
      <c r="CM8" s="60"/>
      <c r="DS8" s="59"/>
      <c r="DT8" s="59"/>
      <c r="DU8" s="59"/>
    </row>
    <row r="9" spans="1:12" ht="15" customHeight="1">
      <c r="A9" s="804" t="s">
        <v>261</v>
      </c>
      <c r="B9" s="806" t="s">
        <v>473</v>
      </c>
      <c r="C9" s="806"/>
      <c r="D9" s="806"/>
      <c r="E9" s="806"/>
      <c r="F9" s="806"/>
      <c r="G9" s="655" t="s">
        <v>311</v>
      </c>
      <c r="H9" s="655" t="s">
        <v>72</v>
      </c>
      <c r="I9" s="655" t="s">
        <v>79</v>
      </c>
      <c r="J9" s="655" t="s">
        <v>980</v>
      </c>
      <c r="K9" s="801" t="s">
        <v>1019</v>
      </c>
      <c r="L9" s="655" t="s">
        <v>1018</v>
      </c>
    </row>
    <row r="10" spans="1:12" ht="45">
      <c r="A10" s="805"/>
      <c r="B10" s="67" t="s">
        <v>511</v>
      </c>
      <c r="C10" s="67" t="s">
        <v>474</v>
      </c>
      <c r="D10" s="67" t="s">
        <v>475</v>
      </c>
      <c r="E10" s="67" t="s">
        <v>476</v>
      </c>
      <c r="F10" s="67" t="s">
        <v>477</v>
      </c>
      <c r="G10" s="655"/>
      <c r="H10" s="655"/>
      <c r="I10" s="655"/>
      <c r="J10" s="655"/>
      <c r="K10" s="802"/>
      <c r="L10" s="655"/>
    </row>
    <row r="11" spans="1:12" ht="15">
      <c r="A11" s="61">
        <v>1</v>
      </c>
      <c r="B11" s="68" t="s">
        <v>478</v>
      </c>
      <c r="C11" s="68" t="s">
        <v>479</v>
      </c>
      <c r="D11" s="68" t="s">
        <v>480</v>
      </c>
      <c r="E11" s="68" t="s">
        <v>470</v>
      </c>
      <c r="F11" s="68" t="s">
        <v>481</v>
      </c>
      <c r="G11" s="138">
        <v>5</v>
      </c>
      <c r="H11" s="138">
        <v>6</v>
      </c>
      <c r="I11" s="138">
        <v>7</v>
      </c>
      <c r="J11" s="138">
        <v>5</v>
      </c>
      <c r="K11" s="138"/>
      <c r="L11" s="588"/>
    </row>
    <row r="12" spans="1:13" ht="21.75" customHeight="1" outlineLevel="1">
      <c r="A12" s="602" t="s">
        <v>347</v>
      </c>
      <c r="B12" s="603"/>
      <c r="C12" s="604"/>
      <c r="D12" s="604"/>
      <c r="E12" s="604"/>
      <c r="F12" s="604"/>
      <c r="G12" s="605">
        <f>G13+G14+G16+G18+G19+G17</f>
        <v>55024.619999999995</v>
      </c>
      <c r="H12" s="605">
        <f>H13+H14+H16+H18+H19</f>
        <v>52671.82000000001</v>
      </c>
      <c r="I12" s="605">
        <f>I13+I14+I16+I18+I19</f>
        <v>52671.82000000001</v>
      </c>
      <c r="J12" s="605">
        <f>J13+J14+J16+J18+J19+J17+J15</f>
        <v>54658.66</v>
      </c>
      <c r="K12" s="605">
        <f>K13+K14+K16+K18+K19+K17+K15</f>
        <v>54658.66</v>
      </c>
      <c r="L12" s="606">
        <f>K12/J12</f>
        <v>1</v>
      </c>
      <c r="M12" s="80"/>
    </row>
    <row r="13" spans="1:12" ht="48" customHeight="1" outlineLevel="1">
      <c r="A13" s="51" t="s">
        <v>151</v>
      </c>
      <c r="B13" s="69" t="s">
        <v>514</v>
      </c>
      <c r="C13" s="48" t="s">
        <v>386</v>
      </c>
      <c r="D13" s="48" t="s">
        <v>382</v>
      </c>
      <c r="E13" s="48"/>
      <c r="F13" s="48"/>
      <c r="G13" s="187">
        <v>2031</v>
      </c>
      <c r="H13" s="187">
        <v>2031</v>
      </c>
      <c r="I13" s="187">
        <v>2031</v>
      </c>
      <c r="J13" s="187">
        <f>прил_4!O15</f>
        <v>1952.12</v>
      </c>
      <c r="K13" s="187">
        <v>1952.12</v>
      </c>
      <c r="L13" s="598">
        <f aca="true" t="shared" si="0" ref="L13:L76">K13/J13</f>
        <v>1</v>
      </c>
    </row>
    <row r="14" spans="1:13" ht="60" outlineLevel="2">
      <c r="A14" s="51" t="s">
        <v>359</v>
      </c>
      <c r="B14" s="48" t="s">
        <v>514</v>
      </c>
      <c r="C14" s="48" t="s">
        <v>386</v>
      </c>
      <c r="D14" s="48" t="s">
        <v>391</v>
      </c>
      <c r="E14" s="48"/>
      <c r="F14" s="48"/>
      <c r="G14" s="49">
        <v>1241.58</v>
      </c>
      <c r="H14" s="49">
        <v>1241.58</v>
      </c>
      <c r="I14" s="49">
        <v>1241.58</v>
      </c>
      <c r="J14" s="49">
        <v>1302.29</v>
      </c>
      <c r="K14" s="49">
        <v>1302.29</v>
      </c>
      <c r="L14" s="598">
        <f t="shared" si="0"/>
        <v>1</v>
      </c>
      <c r="M14" s="80"/>
    </row>
    <row r="15" spans="1:12" s="66" customFormat="1" ht="84.75" customHeight="1" outlineLevel="1">
      <c r="A15" s="51" t="s">
        <v>337</v>
      </c>
      <c r="B15" s="126" t="s">
        <v>488</v>
      </c>
      <c r="C15" s="48" t="s">
        <v>386</v>
      </c>
      <c r="D15" s="48" t="s">
        <v>390</v>
      </c>
      <c r="E15" s="48" t="s">
        <v>180</v>
      </c>
      <c r="F15" s="48"/>
      <c r="G15" s="49"/>
      <c r="J15" s="49">
        <v>1</v>
      </c>
      <c r="K15" s="49">
        <v>1</v>
      </c>
      <c r="L15" s="598">
        <f t="shared" si="0"/>
        <v>1</v>
      </c>
    </row>
    <row r="16" spans="1:12" ht="64.5" customHeight="1" outlineLevel="2">
      <c r="A16" s="51" t="s">
        <v>349</v>
      </c>
      <c r="B16" s="48" t="s">
        <v>514</v>
      </c>
      <c r="C16" s="48" t="s">
        <v>386</v>
      </c>
      <c r="D16" s="48" t="s">
        <v>250</v>
      </c>
      <c r="E16" s="48"/>
      <c r="F16" s="48"/>
      <c r="G16" s="49">
        <v>10664.26</v>
      </c>
      <c r="H16" s="49">
        <v>10664.26</v>
      </c>
      <c r="I16" s="49">
        <v>10664.26</v>
      </c>
      <c r="J16" s="49">
        <v>10347.41</v>
      </c>
      <c r="K16" s="49">
        <v>10347.41</v>
      </c>
      <c r="L16" s="598">
        <f t="shared" si="0"/>
        <v>1</v>
      </c>
    </row>
    <row r="17" spans="1:12" ht="20.25" customHeight="1" outlineLevel="2">
      <c r="A17" s="51" t="s">
        <v>981</v>
      </c>
      <c r="B17" s="48" t="s">
        <v>514</v>
      </c>
      <c r="C17" s="48" t="s">
        <v>386</v>
      </c>
      <c r="D17" s="48" t="s">
        <v>388</v>
      </c>
      <c r="E17" s="48"/>
      <c r="F17" s="48"/>
      <c r="G17" s="49">
        <v>1500</v>
      </c>
      <c r="H17" s="49"/>
      <c r="I17" s="49"/>
      <c r="J17" s="49">
        <v>1000</v>
      </c>
      <c r="K17" s="49">
        <v>1000</v>
      </c>
      <c r="L17" s="598">
        <f t="shared" si="0"/>
        <v>1</v>
      </c>
    </row>
    <row r="18" spans="1:12" ht="22.5" customHeight="1" outlineLevel="2">
      <c r="A18" s="51" t="s">
        <v>516</v>
      </c>
      <c r="B18" s="48" t="s">
        <v>514</v>
      </c>
      <c r="C18" s="48" t="s">
        <v>386</v>
      </c>
      <c r="D18" s="48" t="s">
        <v>251</v>
      </c>
      <c r="E18" s="48"/>
      <c r="F18" s="48"/>
      <c r="G18" s="49">
        <v>500</v>
      </c>
      <c r="H18" s="49">
        <v>500</v>
      </c>
      <c r="I18" s="49">
        <v>500</v>
      </c>
      <c r="J18" s="49">
        <v>297.44</v>
      </c>
      <c r="K18" s="49">
        <v>297.44</v>
      </c>
      <c r="L18" s="598">
        <f t="shared" si="0"/>
        <v>1</v>
      </c>
    </row>
    <row r="19" spans="1:12" ht="51" customHeight="1" outlineLevel="2">
      <c r="A19" s="51" t="s">
        <v>348</v>
      </c>
      <c r="B19" s="69" t="s">
        <v>514</v>
      </c>
      <c r="C19" s="48" t="s">
        <v>386</v>
      </c>
      <c r="D19" s="48" t="s">
        <v>392</v>
      </c>
      <c r="E19" s="48"/>
      <c r="F19" s="48"/>
      <c r="G19" s="49">
        <v>39087.78</v>
      </c>
      <c r="H19" s="49">
        <v>38234.98</v>
      </c>
      <c r="I19" s="49">
        <v>38234.98</v>
      </c>
      <c r="J19" s="49">
        <v>39758.4</v>
      </c>
      <c r="K19" s="49">
        <v>39758.4</v>
      </c>
      <c r="L19" s="598">
        <f t="shared" si="0"/>
        <v>1</v>
      </c>
    </row>
    <row r="20" spans="1:12" ht="27.75" customHeight="1" outlineLevel="2">
      <c r="A20" s="602" t="s">
        <v>350</v>
      </c>
      <c r="B20" s="604"/>
      <c r="C20" s="604"/>
      <c r="D20" s="604"/>
      <c r="E20" s="604"/>
      <c r="F20" s="604"/>
      <c r="G20" s="605">
        <f>G21</f>
        <v>2870.2</v>
      </c>
      <c r="H20" s="605">
        <f>H21</f>
        <v>2905.9</v>
      </c>
      <c r="I20" s="605">
        <f>I21</f>
        <v>2776.2</v>
      </c>
      <c r="J20" s="605">
        <f>J21</f>
        <v>2870.2</v>
      </c>
      <c r="K20" s="605">
        <f>K21</f>
        <v>2846.84</v>
      </c>
      <c r="L20" s="606">
        <f t="shared" si="0"/>
        <v>0.9918611943418578</v>
      </c>
    </row>
    <row r="21" spans="1:12" ht="15.75" outlineLevel="2">
      <c r="A21" s="51" t="s">
        <v>351</v>
      </c>
      <c r="B21" s="48" t="s">
        <v>514</v>
      </c>
      <c r="C21" s="48" t="s">
        <v>382</v>
      </c>
      <c r="D21" s="48" t="s">
        <v>391</v>
      </c>
      <c r="E21" s="48"/>
      <c r="F21" s="48"/>
      <c r="G21" s="49">
        <v>2870.2</v>
      </c>
      <c r="H21" s="49">
        <v>2905.9</v>
      </c>
      <c r="I21" s="49">
        <v>2776.2</v>
      </c>
      <c r="J21" s="49">
        <v>2870.2</v>
      </c>
      <c r="K21" s="49">
        <v>2846.84</v>
      </c>
      <c r="L21" s="598">
        <f t="shared" si="0"/>
        <v>0.9918611943418578</v>
      </c>
    </row>
    <row r="22" spans="1:12" ht="29.25" customHeight="1" outlineLevel="1">
      <c r="A22" s="607" t="s">
        <v>506</v>
      </c>
      <c r="B22" s="604"/>
      <c r="C22" s="604"/>
      <c r="D22" s="604"/>
      <c r="E22" s="604"/>
      <c r="F22" s="604"/>
      <c r="G22" s="605">
        <f>G23+G26</f>
        <v>600</v>
      </c>
      <c r="H22" s="605">
        <f>H23+H26</f>
        <v>500</v>
      </c>
      <c r="I22" s="605">
        <f>I23+I26</f>
        <v>500</v>
      </c>
      <c r="J22" s="605">
        <f>J23+J26</f>
        <v>250.77</v>
      </c>
      <c r="K22" s="605">
        <f>K23+K26</f>
        <v>250.77</v>
      </c>
      <c r="L22" s="606">
        <f t="shared" si="0"/>
        <v>1</v>
      </c>
    </row>
    <row r="23" spans="1:12" ht="18.75" customHeight="1" outlineLevel="1">
      <c r="A23" s="53" t="s">
        <v>517</v>
      </c>
      <c r="B23" s="48" t="s">
        <v>514</v>
      </c>
      <c r="C23" s="48" t="s">
        <v>391</v>
      </c>
      <c r="D23" s="48" t="s">
        <v>382</v>
      </c>
      <c r="E23" s="48"/>
      <c r="F23" s="48"/>
      <c r="G23" s="49"/>
      <c r="H23" s="49"/>
      <c r="I23" s="49"/>
      <c r="J23" s="49">
        <v>0</v>
      </c>
      <c r="K23" s="49">
        <v>0</v>
      </c>
      <c r="L23" s="598">
        <v>0</v>
      </c>
    </row>
    <row r="24" spans="1:12" ht="42.75" customHeight="1" hidden="1" outlineLevel="1">
      <c r="A24" s="53" t="s">
        <v>372</v>
      </c>
      <c r="B24" s="48" t="s">
        <v>514</v>
      </c>
      <c r="C24" s="48" t="s">
        <v>391</v>
      </c>
      <c r="D24" s="48" t="s">
        <v>382</v>
      </c>
      <c r="E24" s="48" t="s">
        <v>485</v>
      </c>
      <c r="F24" s="48"/>
      <c r="G24" s="49"/>
      <c r="H24" s="49"/>
      <c r="I24" s="49"/>
      <c r="J24" s="49"/>
      <c r="K24" s="49"/>
      <c r="L24" s="598" t="e">
        <f t="shared" si="0"/>
        <v>#DIV/0!</v>
      </c>
    </row>
    <row r="25" spans="1:12" ht="51.75" customHeight="1" hidden="1" outlineLevel="1">
      <c r="A25" s="53" t="s">
        <v>373</v>
      </c>
      <c r="B25" s="52" t="s">
        <v>514</v>
      </c>
      <c r="C25" s="52" t="s">
        <v>391</v>
      </c>
      <c r="D25" s="52" t="s">
        <v>382</v>
      </c>
      <c r="E25" s="52" t="s">
        <v>485</v>
      </c>
      <c r="F25" s="52" t="s">
        <v>254</v>
      </c>
      <c r="G25" s="49"/>
      <c r="H25" s="49"/>
      <c r="I25" s="49"/>
      <c r="J25" s="49"/>
      <c r="K25" s="49"/>
      <c r="L25" s="598" t="e">
        <f t="shared" si="0"/>
        <v>#DIV/0!</v>
      </c>
    </row>
    <row r="26" spans="1:12" ht="51" customHeight="1" outlineLevel="2">
      <c r="A26" s="51" t="s">
        <v>362</v>
      </c>
      <c r="B26" s="69" t="s">
        <v>514</v>
      </c>
      <c r="C26" s="48" t="s">
        <v>391</v>
      </c>
      <c r="D26" s="48" t="s">
        <v>385</v>
      </c>
      <c r="E26" s="48"/>
      <c r="F26" s="48"/>
      <c r="G26" s="49">
        <v>600</v>
      </c>
      <c r="H26" s="49">
        <v>500</v>
      </c>
      <c r="I26" s="49">
        <v>500</v>
      </c>
      <c r="J26" s="49">
        <v>250.77</v>
      </c>
      <c r="K26" s="49">
        <v>250.77</v>
      </c>
      <c r="L26" s="598">
        <f t="shared" si="0"/>
        <v>1</v>
      </c>
    </row>
    <row r="27" spans="1:12" ht="18" customHeight="1" outlineLevel="2">
      <c r="A27" s="602" t="s">
        <v>507</v>
      </c>
      <c r="B27" s="603"/>
      <c r="C27" s="604"/>
      <c r="D27" s="604"/>
      <c r="E27" s="604"/>
      <c r="F27" s="604"/>
      <c r="G27" s="608">
        <f>G28+G30+G31</f>
        <v>49322.399999999994</v>
      </c>
      <c r="H27" s="608">
        <f>H28+H30+H31</f>
        <v>28835.98</v>
      </c>
      <c r="I27" s="608">
        <f>I28+I30+I31</f>
        <v>97987.38</v>
      </c>
      <c r="J27" s="608">
        <f>J28+J30+J31+J29</f>
        <v>181105.62</v>
      </c>
      <c r="K27" s="608">
        <f>K28+K30+K31+K29</f>
        <v>91898.36</v>
      </c>
      <c r="L27" s="606">
        <f t="shared" si="0"/>
        <v>0.50742964243738</v>
      </c>
    </row>
    <row r="28" spans="1:12" ht="19.5" customHeight="1">
      <c r="A28" s="55" t="s">
        <v>152</v>
      </c>
      <c r="B28" s="64" t="s">
        <v>177</v>
      </c>
      <c r="C28" s="64" t="s">
        <v>387</v>
      </c>
      <c r="D28" s="64" t="s">
        <v>390</v>
      </c>
      <c r="E28" s="64"/>
      <c r="F28" s="64"/>
      <c r="G28" s="49">
        <v>20989.48</v>
      </c>
      <c r="H28" s="49">
        <v>16476.48</v>
      </c>
      <c r="I28" s="49">
        <v>16623.68</v>
      </c>
      <c r="J28" s="49">
        <f>41225.84+2000</f>
        <v>43225.84</v>
      </c>
      <c r="K28" s="49">
        <v>31371.14</v>
      </c>
      <c r="L28" s="598">
        <f t="shared" si="0"/>
        <v>0.7257496904629268</v>
      </c>
    </row>
    <row r="29" spans="1:12" ht="19.5" customHeight="1">
      <c r="A29" s="55" t="s">
        <v>982</v>
      </c>
      <c r="B29" s="64" t="s">
        <v>488</v>
      </c>
      <c r="C29" s="64" t="s">
        <v>387</v>
      </c>
      <c r="D29" s="64" t="s">
        <v>250</v>
      </c>
      <c r="E29" s="64"/>
      <c r="F29" s="64"/>
      <c r="G29" s="49">
        <v>0</v>
      </c>
      <c r="H29" s="49"/>
      <c r="I29" s="49"/>
      <c r="J29" s="49">
        <v>106635.52</v>
      </c>
      <c r="K29" s="49">
        <v>38681.55</v>
      </c>
      <c r="L29" s="598">
        <f>K29/J29</f>
        <v>0.3627454529222533</v>
      </c>
    </row>
    <row r="30" spans="1:12" ht="15.75" outlineLevel="2">
      <c r="A30" s="125" t="s">
        <v>179</v>
      </c>
      <c r="B30" s="69" t="s">
        <v>514</v>
      </c>
      <c r="C30" s="391" t="s">
        <v>387</v>
      </c>
      <c r="D30" s="391" t="s">
        <v>385</v>
      </c>
      <c r="E30" s="391"/>
      <c r="F30" s="391"/>
      <c r="G30" s="49">
        <v>28132.92</v>
      </c>
      <c r="H30" s="49">
        <v>11749.5</v>
      </c>
      <c r="I30" s="49">
        <v>80753.7</v>
      </c>
      <c r="J30" s="49">
        <v>30011.16</v>
      </c>
      <c r="K30" s="49">
        <v>20612.57</v>
      </c>
      <c r="L30" s="598">
        <f t="shared" si="0"/>
        <v>0.6868301658449724</v>
      </c>
    </row>
    <row r="31" spans="1:12" ht="30" outlineLevel="2">
      <c r="A31" s="51" t="s">
        <v>518</v>
      </c>
      <c r="B31" s="69" t="s">
        <v>514</v>
      </c>
      <c r="C31" s="48" t="s">
        <v>387</v>
      </c>
      <c r="D31" s="48" t="s">
        <v>252</v>
      </c>
      <c r="E31" s="48"/>
      <c r="F31" s="48"/>
      <c r="G31" s="49">
        <v>200</v>
      </c>
      <c r="H31" s="49">
        <v>610</v>
      </c>
      <c r="I31" s="49">
        <v>610</v>
      </c>
      <c r="J31" s="49">
        <v>1233.1</v>
      </c>
      <c r="K31" s="49">
        <v>1233.1</v>
      </c>
      <c r="L31" s="598">
        <f t="shared" si="0"/>
        <v>1</v>
      </c>
    </row>
    <row r="32" spans="1:12" ht="57.75" customHeight="1" hidden="1" outlineLevel="2">
      <c r="A32" s="55" t="s">
        <v>183</v>
      </c>
      <c r="B32" s="69">
        <v>301</v>
      </c>
      <c r="C32" s="48" t="s">
        <v>387</v>
      </c>
      <c r="D32" s="48" t="s">
        <v>252</v>
      </c>
      <c r="E32" s="48" t="s">
        <v>184</v>
      </c>
      <c r="F32" s="48"/>
      <c r="G32" s="49">
        <f>G33</f>
        <v>0</v>
      </c>
      <c r="J32" s="49">
        <f>J33</f>
        <v>0</v>
      </c>
      <c r="K32" s="49"/>
      <c r="L32" s="598" t="e">
        <f t="shared" si="0"/>
        <v>#DIV/0!</v>
      </c>
    </row>
    <row r="33" spans="1:12" ht="20.25" customHeight="1" hidden="1" outlineLevel="2">
      <c r="A33" s="55" t="s">
        <v>186</v>
      </c>
      <c r="B33" s="69">
        <v>301</v>
      </c>
      <c r="C33" s="48" t="s">
        <v>387</v>
      </c>
      <c r="D33" s="48" t="s">
        <v>252</v>
      </c>
      <c r="E33" s="48" t="s">
        <v>184</v>
      </c>
      <c r="F33" s="48" t="s">
        <v>185</v>
      </c>
      <c r="G33" s="49">
        <v>0</v>
      </c>
      <c r="J33" s="49">
        <v>0</v>
      </c>
      <c r="K33" s="49"/>
      <c r="L33" s="598" t="e">
        <f t="shared" si="0"/>
        <v>#DIV/0!</v>
      </c>
    </row>
    <row r="34" spans="1:12" ht="22.5" customHeight="1" hidden="1" outlineLevel="2">
      <c r="A34" s="51" t="s">
        <v>418</v>
      </c>
      <c r="B34" s="69">
        <v>301</v>
      </c>
      <c r="C34" s="48" t="s">
        <v>387</v>
      </c>
      <c r="D34" s="48" t="s">
        <v>252</v>
      </c>
      <c r="E34" s="48" t="s">
        <v>486</v>
      </c>
      <c r="F34" s="48"/>
      <c r="G34" s="49">
        <f>G35</f>
        <v>0</v>
      </c>
      <c r="J34" s="49">
        <f>J35</f>
        <v>0</v>
      </c>
      <c r="K34" s="49"/>
      <c r="L34" s="598" t="e">
        <f t="shared" si="0"/>
        <v>#DIV/0!</v>
      </c>
    </row>
    <row r="35" spans="1:12" s="63" customFormat="1" ht="27" customHeight="1" hidden="1" outlineLevel="2">
      <c r="A35" s="55" t="s">
        <v>243</v>
      </c>
      <c r="B35" s="69">
        <v>301</v>
      </c>
      <c r="C35" s="48" t="s">
        <v>387</v>
      </c>
      <c r="D35" s="48" t="s">
        <v>252</v>
      </c>
      <c r="E35" s="48" t="s">
        <v>486</v>
      </c>
      <c r="F35" s="48">
        <v>900</v>
      </c>
      <c r="G35" s="135">
        <v>0</v>
      </c>
      <c r="J35" s="135">
        <v>0</v>
      </c>
      <c r="K35" s="135"/>
      <c r="L35" s="598" t="e">
        <f t="shared" si="0"/>
        <v>#DIV/0!</v>
      </c>
    </row>
    <row r="36" spans="1:12" s="63" customFormat="1" ht="82.5" customHeight="1" hidden="1" outlineLevel="2">
      <c r="A36" s="55" t="s">
        <v>181</v>
      </c>
      <c r="B36" s="69">
        <v>301</v>
      </c>
      <c r="C36" s="48" t="s">
        <v>387</v>
      </c>
      <c r="D36" s="48" t="s">
        <v>252</v>
      </c>
      <c r="E36" s="48" t="s">
        <v>182</v>
      </c>
      <c r="F36" s="48"/>
      <c r="G36" s="49">
        <f>G37</f>
        <v>0</v>
      </c>
      <c r="J36" s="49">
        <f>J37</f>
        <v>0</v>
      </c>
      <c r="K36" s="49"/>
      <c r="L36" s="598" t="e">
        <f t="shared" si="0"/>
        <v>#DIV/0!</v>
      </c>
    </row>
    <row r="37" spans="1:12" s="63" customFormat="1" ht="18.75" customHeight="1" hidden="1" outlineLevel="2">
      <c r="A37" s="55" t="s">
        <v>243</v>
      </c>
      <c r="B37" s="69">
        <v>301</v>
      </c>
      <c r="C37" s="48" t="s">
        <v>387</v>
      </c>
      <c r="D37" s="48" t="s">
        <v>252</v>
      </c>
      <c r="E37" s="48" t="s">
        <v>182</v>
      </c>
      <c r="F37" s="48">
        <v>900</v>
      </c>
      <c r="G37" s="135">
        <v>0</v>
      </c>
      <c r="J37" s="135">
        <v>0</v>
      </c>
      <c r="K37" s="135"/>
      <c r="L37" s="598" t="e">
        <f t="shared" si="0"/>
        <v>#DIV/0!</v>
      </c>
    </row>
    <row r="38" spans="1:12" s="63" customFormat="1" ht="42.75" customHeight="1" hidden="1" outlineLevel="2">
      <c r="A38" s="55" t="s">
        <v>245</v>
      </c>
      <c r="B38" s="69">
        <v>301</v>
      </c>
      <c r="C38" s="48" t="s">
        <v>387</v>
      </c>
      <c r="D38" s="48" t="s">
        <v>252</v>
      </c>
      <c r="E38" s="48" t="s">
        <v>242</v>
      </c>
      <c r="F38" s="48"/>
      <c r="G38" s="49">
        <f>G39</f>
        <v>0</v>
      </c>
      <c r="J38" s="49">
        <f>J39</f>
        <v>0</v>
      </c>
      <c r="K38" s="49"/>
      <c r="L38" s="598" t="e">
        <f t="shared" si="0"/>
        <v>#DIV/0!</v>
      </c>
    </row>
    <row r="39" spans="1:12" s="63" customFormat="1" ht="21" customHeight="1" hidden="1" outlineLevel="2">
      <c r="A39" s="55" t="s">
        <v>243</v>
      </c>
      <c r="B39" s="69">
        <v>301</v>
      </c>
      <c r="C39" s="48" t="s">
        <v>387</v>
      </c>
      <c r="D39" s="48" t="s">
        <v>252</v>
      </c>
      <c r="E39" s="48" t="s">
        <v>242</v>
      </c>
      <c r="F39" s="48">
        <v>900</v>
      </c>
      <c r="G39" s="135">
        <v>0</v>
      </c>
      <c r="J39" s="135">
        <v>0</v>
      </c>
      <c r="K39" s="135"/>
      <c r="L39" s="598" t="e">
        <f t="shared" si="0"/>
        <v>#DIV/0!</v>
      </c>
    </row>
    <row r="40" spans="1:12" s="63" customFormat="1" ht="21" customHeight="1" hidden="1" outlineLevel="2">
      <c r="A40" s="51" t="s">
        <v>489</v>
      </c>
      <c r="B40" s="69" t="s">
        <v>514</v>
      </c>
      <c r="C40" s="48" t="s">
        <v>387</v>
      </c>
      <c r="D40" s="48" t="s">
        <v>252</v>
      </c>
      <c r="E40" s="48" t="s">
        <v>308</v>
      </c>
      <c r="F40" s="48" t="s">
        <v>327</v>
      </c>
      <c r="G40" s="135">
        <v>0</v>
      </c>
      <c r="J40" s="135">
        <v>0</v>
      </c>
      <c r="K40" s="135"/>
      <c r="L40" s="598" t="e">
        <f t="shared" si="0"/>
        <v>#DIV/0!</v>
      </c>
    </row>
    <row r="41" spans="1:12" s="29" customFormat="1" ht="25.5" customHeight="1" outlineLevel="2">
      <c r="A41" s="602" t="s">
        <v>508</v>
      </c>
      <c r="B41" s="603"/>
      <c r="C41" s="604"/>
      <c r="D41" s="604"/>
      <c r="E41" s="604"/>
      <c r="F41" s="604"/>
      <c r="G41" s="605">
        <f>G45+G42</f>
        <v>43165</v>
      </c>
      <c r="H41" s="605">
        <f>H45</f>
        <v>43500</v>
      </c>
      <c r="I41" s="605">
        <f>I45</f>
        <v>41504.64</v>
      </c>
      <c r="J41" s="605">
        <f>J45+J42+J43+J44</f>
        <v>246616.47999999998</v>
      </c>
      <c r="K41" s="605">
        <f>K45+K42+K43+K44</f>
        <v>175966</v>
      </c>
      <c r="L41" s="606">
        <f t="shared" si="0"/>
        <v>0.7135208482417721</v>
      </c>
    </row>
    <row r="42" spans="1:12" s="66" customFormat="1" ht="39" customHeight="1" outlineLevel="2">
      <c r="A42" s="51" t="s">
        <v>983</v>
      </c>
      <c r="B42" s="126" t="s">
        <v>488</v>
      </c>
      <c r="C42" s="48" t="s">
        <v>390</v>
      </c>
      <c r="D42" s="48" t="s">
        <v>386</v>
      </c>
      <c r="E42" s="48" t="s">
        <v>393</v>
      </c>
      <c r="F42" s="48"/>
      <c r="G42" s="49">
        <v>6000</v>
      </c>
      <c r="H42" s="136">
        <v>0</v>
      </c>
      <c r="I42" s="136">
        <v>0</v>
      </c>
      <c r="J42" s="49">
        <v>198691.02</v>
      </c>
      <c r="K42" s="49">
        <v>134982.75</v>
      </c>
      <c r="L42" s="598">
        <f t="shared" si="0"/>
        <v>0.6793600938784249</v>
      </c>
    </row>
    <row r="43" spans="1:12" s="66" customFormat="1" ht="38.25" customHeight="1" outlineLevel="2">
      <c r="A43" s="51" t="s">
        <v>984</v>
      </c>
      <c r="B43" s="126" t="s">
        <v>514</v>
      </c>
      <c r="C43" s="48" t="s">
        <v>390</v>
      </c>
      <c r="D43" s="48" t="s">
        <v>382</v>
      </c>
      <c r="E43" s="48"/>
      <c r="F43" s="48"/>
      <c r="G43" s="49">
        <v>0</v>
      </c>
      <c r="H43" s="136"/>
      <c r="I43" s="136"/>
      <c r="J43" s="49">
        <v>4029.43</v>
      </c>
      <c r="K43" s="49">
        <v>0</v>
      </c>
      <c r="L43" s="598">
        <v>0</v>
      </c>
    </row>
    <row r="44" spans="1:12" s="66" customFormat="1" ht="39.75" customHeight="1" outlineLevel="2">
      <c r="A44" s="51" t="s">
        <v>985</v>
      </c>
      <c r="B44" s="126" t="s">
        <v>514</v>
      </c>
      <c r="C44" s="48" t="s">
        <v>390</v>
      </c>
      <c r="D44" s="48" t="s">
        <v>391</v>
      </c>
      <c r="E44" s="48"/>
      <c r="F44" s="48"/>
      <c r="G44" s="49">
        <v>0</v>
      </c>
      <c r="H44" s="136"/>
      <c r="I44" s="136"/>
      <c r="J44" s="49">
        <f>прил_4!O391</f>
        <v>1680</v>
      </c>
      <c r="K44" s="49">
        <v>1658.65</v>
      </c>
      <c r="L44" s="598">
        <f t="shared" si="0"/>
        <v>0.9872916666666667</v>
      </c>
    </row>
    <row r="45" spans="1:14" ht="33.75" customHeight="1" outlineLevel="2">
      <c r="A45" s="51" t="s">
        <v>519</v>
      </c>
      <c r="B45" s="69" t="s">
        <v>514</v>
      </c>
      <c r="C45" s="48" t="s">
        <v>390</v>
      </c>
      <c r="D45" s="48" t="s">
        <v>390</v>
      </c>
      <c r="E45" s="48"/>
      <c r="F45" s="48"/>
      <c r="G45" s="49">
        <v>37165</v>
      </c>
      <c r="H45" s="49">
        <v>43500</v>
      </c>
      <c r="I45" s="49">
        <v>41504.64</v>
      </c>
      <c r="J45" s="49">
        <v>42216.03</v>
      </c>
      <c r="K45" s="49">
        <v>39324.6</v>
      </c>
      <c r="L45" s="598">
        <f t="shared" si="0"/>
        <v>0.9315087183707231</v>
      </c>
      <c r="N45" s="54">
        <v>41055.04</v>
      </c>
    </row>
    <row r="46" spans="1:12" ht="42.75" customHeight="1" hidden="1" outlineLevel="2">
      <c r="A46" s="51" t="s">
        <v>247</v>
      </c>
      <c r="B46" s="126">
        <v>301</v>
      </c>
      <c r="C46" s="48" t="s">
        <v>390</v>
      </c>
      <c r="D46" s="48" t="s">
        <v>390</v>
      </c>
      <c r="E46" s="48" t="s">
        <v>246</v>
      </c>
      <c r="F46" s="48"/>
      <c r="G46" s="49">
        <v>0</v>
      </c>
      <c r="H46" s="135"/>
      <c r="I46" s="135"/>
      <c r="J46" s="49">
        <v>0</v>
      </c>
      <c r="K46" s="49"/>
      <c r="L46" s="598" t="e">
        <f t="shared" si="0"/>
        <v>#DIV/0!</v>
      </c>
    </row>
    <row r="47" spans="1:12" ht="24.75" customHeight="1" hidden="1" outlineLevel="2">
      <c r="A47" s="51" t="s">
        <v>243</v>
      </c>
      <c r="B47" s="126">
        <v>301</v>
      </c>
      <c r="C47" s="48" t="s">
        <v>390</v>
      </c>
      <c r="D47" s="48" t="s">
        <v>390</v>
      </c>
      <c r="E47" s="48" t="s">
        <v>246</v>
      </c>
      <c r="F47" s="48" t="s">
        <v>327</v>
      </c>
      <c r="G47" s="133">
        <v>0</v>
      </c>
      <c r="H47" s="135"/>
      <c r="I47" s="135"/>
      <c r="J47" s="133">
        <v>0</v>
      </c>
      <c r="K47" s="133"/>
      <c r="L47" s="598" t="e">
        <f t="shared" si="0"/>
        <v>#DIV/0!</v>
      </c>
    </row>
    <row r="48" spans="1:12" ht="47.25" customHeight="1" hidden="1" outlineLevel="2">
      <c r="A48" s="129" t="s">
        <v>157</v>
      </c>
      <c r="B48" s="48" t="s">
        <v>514</v>
      </c>
      <c r="C48" s="48" t="s">
        <v>390</v>
      </c>
      <c r="D48" s="48" t="s">
        <v>390</v>
      </c>
      <c r="E48" s="48" t="s">
        <v>246</v>
      </c>
      <c r="F48" s="48" t="s">
        <v>327</v>
      </c>
      <c r="G48" s="133">
        <v>0</v>
      </c>
      <c r="H48" s="135"/>
      <c r="I48" s="135"/>
      <c r="J48" s="133">
        <v>0</v>
      </c>
      <c r="K48" s="133"/>
      <c r="L48" s="598" t="e">
        <f t="shared" si="0"/>
        <v>#DIV/0!</v>
      </c>
    </row>
    <row r="49" spans="1:12" ht="22.5" customHeight="1" hidden="1" outlineLevel="2">
      <c r="A49" s="51" t="s">
        <v>248</v>
      </c>
      <c r="B49" s="126">
        <v>301</v>
      </c>
      <c r="C49" s="48" t="s">
        <v>390</v>
      </c>
      <c r="D49" s="48" t="s">
        <v>390</v>
      </c>
      <c r="E49" s="48" t="s">
        <v>249</v>
      </c>
      <c r="F49" s="48"/>
      <c r="G49" s="49">
        <v>0</v>
      </c>
      <c r="H49" s="135"/>
      <c r="I49" s="135"/>
      <c r="J49" s="49">
        <v>0</v>
      </c>
      <c r="K49" s="49"/>
      <c r="L49" s="598" t="e">
        <f t="shared" si="0"/>
        <v>#DIV/0!</v>
      </c>
    </row>
    <row r="50" spans="1:12" ht="19.5" customHeight="1" hidden="1" outlineLevel="2">
      <c r="A50" s="51" t="s">
        <v>243</v>
      </c>
      <c r="B50" s="126">
        <v>301</v>
      </c>
      <c r="C50" s="48" t="s">
        <v>390</v>
      </c>
      <c r="D50" s="48" t="s">
        <v>390</v>
      </c>
      <c r="E50" s="48" t="s">
        <v>249</v>
      </c>
      <c r="F50" s="48" t="s">
        <v>327</v>
      </c>
      <c r="G50" s="49">
        <v>0</v>
      </c>
      <c r="H50" s="135"/>
      <c r="I50" s="135"/>
      <c r="J50" s="49">
        <v>0</v>
      </c>
      <c r="K50" s="49"/>
      <c r="L50" s="598" t="e">
        <f t="shared" si="0"/>
        <v>#DIV/0!</v>
      </c>
    </row>
    <row r="51" spans="1:15" s="65" customFormat="1" ht="24" customHeight="1" collapsed="1">
      <c r="A51" s="602" t="s">
        <v>509</v>
      </c>
      <c r="B51" s="604"/>
      <c r="C51" s="604"/>
      <c r="D51" s="604"/>
      <c r="E51" s="604"/>
      <c r="F51" s="604"/>
      <c r="G51" s="605">
        <f>G52+G53+G54+G59</f>
        <v>508475.42</v>
      </c>
      <c r="H51" s="605">
        <f>H52+H53+H54+H59</f>
        <v>482994.44999999995</v>
      </c>
      <c r="I51" s="605">
        <f>I52+I53+I54+I59</f>
        <v>486257.94</v>
      </c>
      <c r="J51" s="605">
        <f>J52+J53+J54+J59</f>
        <v>509414.4799999999</v>
      </c>
      <c r="K51" s="605">
        <f>K52+K53+K54+K59</f>
        <v>501100.16</v>
      </c>
      <c r="L51" s="606">
        <f t="shared" si="0"/>
        <v>0.983678673601897</v>
      </c>
      <c r="M51" s="134"/>
      <c r="N51" s="134">
        <f>N45-G45</f>
        <v>3890.040000000001</v>
      </c>
      <c r="O51" s="134"/>
    </row>
    <row r="52" spans="1:12" ht="15.75">
      <c r="A52" s="62" t="s">
        <v>202</v>
      </c>
      <c r="B52" s="72" t="s">
        <v>514</v>
      </c>
      <c r="C52" s="72" t="s">
        <v>388</v>
      </c>
      <c r="D52" s="72" t="s">
        <v>386</v>
      </c>
      <c r="E52" s="72"/>
      <c r="F52" s="72"/>
      <c r="G52" s="50">
        <v>37255.58</v>
      </c>
      <c r="H52" s="50">
        <v>41138.93</v>
      </c>
      <c r="I52" s="50">
        <v>41308.46</v>
      </c>
      <c r="J52" s="50">
        <v>53372.85</v>
      </c>
      <c r="K52" s="50">
        <v>51029.9</v>
      </c>
      <c r="L52" s="598">
        <f t="shared" si="0"/>
        <v>0.9561022130165431</v>
      </c>
    </row>
    <row r="53" spans="1:16" ht="15.75">
      <c r="A53" s="62" t="s">
        <v>512</v>
      </c>
      <c r="B53" s="72" t="s">
        <v>514</v>
      </c>
      <c r="C53" s="72" t="s">
        <v>388</v>
      </c>
      <c r="D53" s="72" t="s">
        <v>382</v>
      </c>
      <c r="E53" s="72"/>
      <c r="F53" s="72"/>
      <c r="G53" s="49">
        <v>449440.1</v>
      </c>
      <c r="H53" s="49">
        <f>435581.72-9627.88+6606</f>
        <v>432559.83999999997</v>
      </c>
      <c r="I53" s="49">
        <f>440355.92-7595.44+7139</f>
        <v>439899.48</v>
      </c>
      <c r="J53" s="49">
        <f>436771.16+151.3</f>
        <v>436922.45999999996</v>
      </c>
      <c r="K53" s="49">
        <v>434033.99</v>
      </c>
      <c r="L53" s="598">
        <f>K53/J53</f>
        <v>0.9933890558063782</v>
      </c>
      <c r="M53" s="80"/>
      <c r="N53" s="80"/>
      <c r="O53" s="80"/>
      <c r="P53" s="80"/>
    </row>
    <row r="54" spans="1:12" s="29" customFormat="1" ht="28.5" customHeight="1">
      <c r="A54" s="125" t="s">
        <v>160</v>
      </c>
      <c r="B54" s="364" t="s">
        <v>514</v>
      </c>
      <c r="C54" s="364" t="s">
        <v>388</v>
      </c>
      <c r="D54" s="364" t="s">
        <v>388</v>
      </c>
      <c r="E54" s="364"/>
      <c r="F54" s="364"/>
      <c r="G54" s="417">
        <v>2950</v>
      </c>
      <c r="H54" s="417">
        <v>2950</v>
      </c>
      <c r="I54" s="417">
        <v>2950</v>
      </c>
      <c r="J54" s="417">
        <v>2265.22</v>
      </c>
      <c r="K54" s="417">
        <v>2265.22</v>
      </c>
      <c r="L54" s="598">
        <f t="shared" si="0"/>
        <v>1</v>
      </c>
    </row>
    <row r="55" spans="1:12" ht="45" hidden="1">
      <c r="A55" s="51" t="s">
        <v>162</v>
      </c>
      <c r="B55" s="72" t="s">
        <v>514</v>
      </c>
      <c r="C55" s="72" t="s">
        <v>388</v>
      </c>
      <c r="D55" s="72" t="s">
        <v>388</v>
      </c>
      <c r="E55" s="73" t="s">
        <v>163</v>
      </c>
      <c r="F55" s="72"/>
      <c r="G55" s="49"/>
      <c r="J55" s="49"/>
      <c r="K55" s="49"/>
      <c r="L55" s="598" t="e">
        <f t="shared" si="0"/>
        <v>#DIV/0!</v>
      </c>
    </row>
    <row r="56" spans="1:12" ht="45" hidden="1">
      <c r="A56" s="126" t="s">
        <v>164</v>
      </c>
      <c r="B56" s="72" t="s">
        <v>514</v>
      </c>
      <c r="C56" s="72" t="s">
        <v>388</v>
      </c>
      <c r="D56" s="72" t="s">
        <v>388</v>
      </c>
      <c r="E56" s="73" t="s">
        <v>163</v>
      </c>
      <c r="F56" s="72" t="s">
        <v>328</v>
      </c>
      <c r="G56" s="135"/>
      <c r="J56" s="135"/>
      <c r="K56" s="135"/>
      <c r="L56" s="598" t="e">
        <f t="shared" si="0"/>
        <v>#DIV/0!</v>
      </c>
    </row>
    <row r="57" spans="1:12" ht="30" hidden="1">
      <c r="A57" s="51" t="s">
        <v>154</v>
      </c>
      <c r="B57" s="72" t="s">
        <v>514</v>
      </c>
      <c r="C57" s="72" t="s">
        <v>388</v>
      </c>
      <c r="D57" s="72" t="s">
        <v>388</v>
      </c>
      <c r="E57" s="73" t="s">
        <v>163</v>
      </c>
      <c r="F57" s="72"/>
      <c r="G57" s="49"/>
      <c r="J57" s="49"/>
      <c r="K57" s="49"/>
      <c r="L57" s="598" t="e">
        <f t="shared" si="0"/>
        <v>#DIV/0!</v>
      </c>
    </row>
    <row r="58" spans="1:12" ht="30" hidden="1">
      <c r="A58" s="51" t="s">
        <v>159</v>
      </c>
      <c r="B58" s="72" t="s">
        <v>514</v>
      </c>
      <c r="C58" s="72" t="s">
        <v>388</v>
      </c>
      <c r="D58" s="72" t="s">
        <v>388</v>
      </c>
      <c r="E58" s="73" t="s">
        <v>163</v>
      </c>
      <c r="F58" s="72" t="s">
        <v>158</v>
      </c>
      <c r="G58" s="135"/>
      <c r="J58" s="135"/>
      <c r="K58" s="135"/>
      <c r="L58" s="598" t="e">
        <f t="shared" si="0"/>
        <v>#DIV/0!</v>
      </c>
    </row>
    <row r="59" spans="1:14" s="29" customFormat="1" ht="22.5" customHeight="1">
      <c r="A59" s="51" t="s">
        <v>161</v>
      </c>
      <c r="B59" s="72" t="s">
        <v>514</v>
      </c>
      <c r="C59" s="72" t="s">
        <v>388</v>
      </c>
      <c r="D59" s="72" t="s">
        <v>385</v>
      </c>
      <c r="E59" s="73"/>
      <c r="F59" s="72"/>
      <c r="G59" s="49">
        <f>19279.74-450</f>
        <v>18829.74</v>
      </c>
      <c r="H59" s="49">
        <f>6345.68</f>
        <v>6345.68</v>
      </c>
      <c r="I59" s="49">
        <f>2100</f>
        <v>2100</v>
      </c>
      <c r="J59" s="49">
        <v>16853.95</v>
      </c>
      <c r="K59" s="49">
        <v>13771.05</v>
      </c>
      <c r="L59" s="598">
        <f t="shared" si="0"/>
        <v>0.8170814556824957</v>
      </c>
      <c r="M59" s="618"/>
      <c r="N59" s="29" t="s">
        <v>1070</v>
      </c>
    </row>
    <row r="60" spans="1:12" ht="51.75" customHeight="1" hidden="1">
      <c r="A60" s="51"/>
      <c r="B60" s="74"/>
      <c r="C60" s="74"/>
      <c r="D60" s="74"/>
      <c r="E60" s="75"/>
      <c r="F60" s="74"/>
      <c r="G60" s="135"/>
      <c r="H60" s="135"/>
      <c r="I60" s="135"/>
      <c r="J60" s="135"/>
      <c r="K60" s="135"/>
      <c r="L60" s="598" t="e">
        <f t="shared" si="0"/>
        <v>#DIV/0!</v>
      </c>
    </row>
    <row r="61" spans="1:12" ht="30.75" customHeight="1" hidden="1">
      <c r="A61" s="51"/>
      <c r="B61" s="74"/>
      <c r="C61" s="74"/>
      <c r="D61" s="74"/>
      <c r="E61" s="75"/>
      <c r="F61" s="74"/>
      <c r="G61" s="135"/>
      <c r="H61" s="135"/>
      <c r="I61" s="135"/>
      <c r="J61" s="135"/>
      <c r="K61" s="135"/>
      <c r="L61" s="598" t="e">
        <f t="shared" si="0"/>
        <v>#DIV/0!</v>
      </c>
    </row>
    <row r="62" spans="1:12" ht="35.25" customHeight="1" hidden="1">
      <c r="A62" s="51" t="s">
        <v>150</v>
      </c>
      <c r="B62" s="69">
        <v>301</v>
      </c>
      <c r="C62" s="48" t="s">
        <v>388</v>
      </c>
      <c r="D62" s="48" t="s">
        <v>385</v>
      </c>
      <c r="E62" s="48" t="s">
        <v>484</v>
      </c>
      <c r="F62" s="48"/>
      <c r="G62" s="49">
        <f>G63+G64+G65</f>
        <v>0</v>
      </c>
      <c r="H62" s="135"/>
      <c r="I62" s="135"/>
      <c r="J62" s="49">
        <f>J63+J64+J65</f>
        <v>0</v>
      </c>
      <c r="K62" s="49"/>
      <c r="L62" s="598" t="e">
        <f t="shared" si="0"/>
        <v>#DIV/0!</v>
      </c>
    </row>
    <row r="63" spans="1:12" ht="30.75" customHeight="1" hidden="1">
      <c r="A63" s="51" t="s">
        <v>243</v>
      </c>
      <c r="B63" s="69">
        <v>301</v>
      </c>
      <c r="C63" s="48" t="s">
        <v>388</v>
      </c>
      <c r="D63" s="48" t="s">
        <v>385</v>
      </c>
      <c r="E63" s="48" t="s">
        <v>484</v>
      </c>
      <c r="F63" s="48">
        <v>900</v>
      </c>
      <c r="G63" s="135"/>
      <c r="H63" s="135"/>
      <c r="I63" s="135"/>
      <c r="J63" s="135"/>
      <c r="K63" s="135"/>
      <c r="L63" s="598" t="e">
        <f t="shared" si="0"/>
        <v>#DIV/0!</v>
      </c>
    </row>
    <row r="64" spans="1:12" ht="60.75" customHeight="1" hidden="1">
      <c r="A64" s="69" t="s">
        <v>164</v>
      </c>
      <c r="B64" s="72" t="s">
        <v>514</v>
      </c>
      <c r="C64" s="72" t="s">
        <v>388</v>
      </c>
      <c r="D64" s="72" t="s">
        <v>385</v>
      </c>
      <c r="E64" s="73" t="s">
        <v>484</v>
      </c>
      <c r="F64" s="72" t="s">
        <v>328</v>
      </c>
      <c r="G64" s="133"/>
      <c r="H64" s="135"/>
      <c r="I64" s="135"/>
      <c r="J64" s="133"/>
      <c r="K64" s="133"/>
      <c r="L64" s="598" t="e">
        <f t="shared" si="0"/>
        <v>#DIV/0!</v>
      </c>
    </row>
    <row r="65" spans="1:12" ht="37.5" customHeight="1" hidden="1">
      <c r="A65" s="51" t="s">
        <v>159</v>
      </c>
      <c r="B65" s="72" t="s">
        <v>514</v>
      </c>
      <c r="C65" s="72" t="s">
        <v>388</v>
      </c>
      <c r="D65" s="72" t="s">
        <v>385</v>
      </c>
      <c r="E65" s="73" t="s">
        <v>484</v>
      </c>
      <c r="F65" s="48" t="s">
        <v>158</v>
      </c>
      <c r="G65" s="135"/>
      <c r="H65" s="135"/>
      <c r="I65" s="135"/>
      <c r="J65" s="135"/>
      <c r="K65" s="135"/>
      <c r="L65" s="598" t="e">
        <f t="shared" si="0"/>
        <v>#DIV/0!</v>
      </c>
    </row>
    <row r="66" spans="1:12" s="29" customFormat="1" ht="21.75" customHeight="1">
      <c r="A66" s="602" t="s">
        <v>376</v>
      </c>
      <c r="B66" s="604"/>
      <c r="C66" s="604"/>
      <c r="D66" s="604"/>
      <c r="E66" s="604"/>
      <c r="F66" s="604"/>
      <c r="G66" s="605">
        <f>G67+G68</f>
        <v>28327.55</v>
      </c>
      <c r="H66" s="605">
        <f>H67+H68</f>
        <v>34121.77</v>
      </c>
      <c r="I66" s="605">
        <f>I67+I68</f>
        <v>43438.58</v>
      </c>
      <c r="J66" s="605">
        <f>J67+J68</f>
        <v>25900.92</v>
      </c>
      <c r="K66" s="605">
        <f>K67+K68</f>
        <v>25174.329999999998</v>
      </c>
      <c r="L66" s="606">
        <f t="shared" si="0"/>
        <v>0.9719473285118829</v>
      </c>
    </row>
    <row r="67" spans="1:13" ht="25.5" customHeight="1">
      <c r="A67" s="55" t="s">
        <v>520</v>
      </c>
      <c r="B67" s="48" t="s">
        <v>514</v>
      </c>
      <c r="C67" s="48" t="s">
        <v>253</v>
      </c>
      <c r="D67" s="48" t="s">
        <v>386</v>
      </c>
      <c r="E67" s="48"/>
      <c r="F67" s="48"/>
      <c r="G67" s="49">
        <f>28527.55-200</f>
        <v>28327.55</v>
      </c>
      <c r="H67" s="49">
        <v>34121.77</v>
      </c>
      <c r="I67" s="49">
        <v>43438.58</v>
      </c>
      <c r="J67" s="49">
        <v>25668.19</v>
      </c>
      <c r="K67" s="49">
        <v>24941.6</v>
      </c>
      <c r="L67" s="598">
        <f t="shared" si="0"/>
        <v>0.9716929787413916</v>
      </c>
      <c r="M67" s="80"/>
    </row>
    <row r="68" spans="1:12" ht="22.5" customHeight="1">
      <c r="A68" s="51" t="s">
        <v>155</v>
      </c>
      <c r="B68" s="52" t="s">
        <v>514</v>
      </c>
      <c r="C68" s="52" t="s">
        <v>253</v>
      </c>
      <c r="D68" s="52" t="s">
        <v>387</v>
      </c>
      <c r="E68" s="52"/>
      <c r="F68" s="52"/>
      <c r="G68" s="49"/>
      <c r="H68" s="49"/>
      <c r="I68" s="49"/>
      <c r="J68" s="49">
        <v>232.73</v>
      </c>
      <c r="K68" s="49">
        <v>232.73</v>
      </c>
      <c r="L68" s="598">
        <f t="shared" si="0"/>
        <v>1</v>
      </c>
    </row>
    <row r="69" spans="1:12" ht="19.5" customHeight="1" outlineLevel="2">
      <c r="A69" s="602" t="s">
        <v>510</v>
      </c>
      <c r="B69" s="604"/>
      <c r="C69" s="604"/>
      <c r="D69" s="604"/>
      <c r="E69" s="604"/>
      <c r="F69" s="604"/>
      <c r="G69" s="605">
        <f>G70+G71+G72</f>
        <v>10512.9</v>
      </c>
      <c r="H69" s="605">
        <f>H70+H71+H72</f>
        <v>9512.9</v>
      </c>
      <c r="I69" s="605">
        <f>I70+I71+I72</f>
        <v>9512.9</v>
      </c>
      <c r="J69" s="605">
        <f>J70+J71+J72</f>
        <v>15101.38</v>
      </c>
      <c r="K69" s="605">
        <f>K70+K71+K72</f>
        <v>15101.38</v>
      </c>
      <c r="L69" s="606">
        <f t="shared" si="0"/>
        <v>1</v>
      </c>
    </row>
    <row r="70" spans="1:12" ht="15.75" outlineLevel="2">
      <c r="A70" s="51" t="s">
        <v>262</v>
      </c>
      <c r="B70" s="48" t="s">
        <v>514</v>
      </c>
      <c r="C70" s="48" t="s">
        <v>483</v>
      </c>
      <c r="D70" s="48" t="s">
        <v>386</v>
      </c>
      <c r="E70" s="48"/>
      <c r="F70" s="48"/>
      <c r="G70" s="49">
        <v>2100</v>
      </c>
      <c r="H70" s="49">
        <v>2100</v>
      </c>
      <c r="I70" s="49">
        <v>2100</v>
      </c>
      <c r="J70" s="49">
        <v>2307.88</v>
      </c>
      <c r="K70" s="49">
        <v>2307.88</v>
      </c>
      <c r="L70" s="598">
        <f t="shared" si="0"/>
        <v>1</v>
      </c>
    </row>
    <row r="71" spans="1:12" ht="15.75" outlineLevel="2">
      <c r="A71" s="51" t="s">
        <v>521</v>
      </c>
      <c r="B71" s="48" t="s">
        <v>514</v>
      </c>
      <c r="C71" s="48" t="s">
        <v>483</v>
      </c>
      <c r="D71" s="48" t="s">
        <v>391</v>
      </c>
      <c r="E71" s="48"/>
      <c r="F71" s="48"/>
      <c r="G71" s="49">
        <v>1500</v>
      </c>
      <c r="H71" s="49">
        <v>500</v>
      </c>
      <c r="I71" s="49">
        <v>500</v>
      </c>
      <c r="J71" s="49">
        <v>3379.6</v>
      </c>
      <c r="K71" s="49">
        <v>3379.6</v>
      </c>
      <c r="L71" s="598">
        <f t="shared" si="0"/>
        <v>1</v>
      </c>
    </row>
    <row r="72" spans="1:12" ht="15.75">
      <c r="A72" s="62" t="s">
        <v>377</v>
      </c>
      <c r="B72" s="72" t="s">
        <v>514</v>
      </c>
      <c r="C72" s="72" t="s">
        <v>483</v>
      </c>
      <c r="D72" s="72" t="s">
        <v>387</v>
      </c>
      <c r="E72" s="72"/>
      <c r="F72" s="72"/>
      <c r="G72" s="50">
        <v>6912.9</v>
      </c>
      <c r="H72" s="50">
        <v>6912.9</v>
      </c>
      <c r="I72" s="50">
        <v>6912.9</v>
      </c>
      <c r="J72" s="50">
        <v>9413.9</v>
      </c>
      <c r="K72" s="50">
        <v>9413.9</v>
      </c>
      <c r="L72" s="598">
        <f t="shared" si="0"/>
        <v>1</v>
      </c>
    </row>
    <row r="73" spans="1:13" s="66" customFormat="1" ht="35.25" customHeight="1">
      <c r="A73" s="602" t="s">
        <v>378</v>
      </c>
      <c r="B73" s="609"/>
      <c r="C73" s="609"/>
      <c r="D73" s="609"/>
      <c r="E73" s="609"/>
      <c r="F73" s="609"/>
      <c r="G73" s="608">
        <f>G74+G75</f>
        <v>29867.76</v>
      </c>
      <c r="H73" s="608">
        <f>H74+H75</f>
        <v>29308.559999999998</v>
      </c>
      <c r="I73" s="608">
        <f>I74+I75</f>
        <v>25422.41</v>
      </c>
      <c r="J73" s="608">
        <f>J74+J75</f>
        <v>17393.98</v>
      </c>
      <c r="K73" s="608">
        <f>K74+K75</f>
        <v>17393.98</v>
      </c>
      <c r="L73" s="606">
        <f t="shared" si="0"/>
        <v>1</v>
      </c>
      <c r="M73" s="481"/>
    </row>
    <row r="74" spans="1:12" s="66" customFormat="1" ht="20.25" customHeight="1">
      <c r="A74" s="51" t="s">
        <v>379</v>
      </c>
      <c r="B74" s="56" t="s">
        <v>514</v>
      </c>
      <c r="C74" s="56" t="s">
        <v>251</v>
      </c>
      <c r="D74" s="56" t="s">
        <v>386</v>
      </c>
      <c r="E74" s="56"/>
      <c r="F74" s="56"/>
      <c r="G74" s="49">
        <v>12628.8</v>
      </c>
      <c r="H74" s="49">
        <v>13939.6</v>
      </c>
      <c r="I74" s="49">
        <v>15053.45</v>
      </c>
      <c r="J74" s="49">
        <f>прил_4!O305+прил_4!O300+прил_4!O299</f>
        <v>12062.109999999999</v>
      </c>
      <c r="K74" s="49">
        <v>12062.11</v>
      </c>
      <c r="L74" s="598">
        <f t="shared" si="0"/>
        <v>1.0000000000000002</v>
      </c>
    </row>
    <row r="75" spans="1:12" s="66" customFormat="1" ht="30">
      <c r="A75" s="62" t="s">
        <v>380</v>
      </c>
      <c r="B75" s="56" t="s">
        <v>514</v>
      </c>
      <c r="C75" s="56" t="s">
        <v>251</v>
      </c>
      <c r="D75" s="56" t="s">
        <v>390</v>
      </c>
      <c r="E75" s="56"/>
      <c r="F75" s="56"/>
      <c r="G75" s="49">
        <f>17438.96-1200+1000</f>
        <v>17238.96</v>
      </c>
      <c r="H75" s="49">
        <v>15368.96</v>
      </c>
      <c r="I75" s="49">
        <v>10368.96</v>
      </c>
      <c r="J75" s="49">
        <v>5331.87</v>
      </c>
      <c r="K75" s="49">
        <v>5331.87</v>
      </c>
      <c r="L75" s="598">
        <f t="shared" si="0"/>
        <v>1</v>
      </c>
    </row>
    <row r="76" spans="1:12" ht="28.5" customHeight="1" outlineLevel="2">
      <c r="A76" s="602" t="s">
        <v>381</v>
      </c>
      <c r="B76" s="604"/>
      <c r="C76" s="604"/>
      <c r="D76" s="604"/>
      <c r="E76" s="604"/>
      <c r="F76" s="604"/>
      <c r="G76" s="608">
        <f>G77</f>
        <v>500</v>
      </c>
      <c r="H76" s="608">
        <f>H77</f>
        <v>500</v>
      </c>
      <c r="I76" s="608">
        <f>I77</f>
        <v>500</v>
      </c>
      <c r="J76" s="608">
        <f>J77</f>
        <v>400</v>
      </c>
      <c r="K76" s="608">
        <f>K77</f>
        <v>400</v>
      </c>
      <c r="L76" s="606">
        <f t="shared" si="0"/>
        <v>1</v>
      </c>
    </row>
    <row r="77" spans="1:12" ht="15.75" outlineLevel="2">
      <c r="A77" s="51" t="s">
        <v>495</v>
      </c>
      <c r="B77" s="48" t="s">
        <v>514</v>
      </c>
      <c r="C77" s="48" t="s">
        <v>252</v>
      </c>
      <c r="D77" s="48" t="s">
        <v>382</v>
      </c>
      <c r="E77" s="48"/>
      <c r="F77" s="48"/>
      <c r="G77" s="49">
        <v>500</v>
      </c>
      <c r="H77" s="49">
        <v>500</v>
      </c>
      <c r="I77" s="49">
        <v>500</v>
      </c>
      <c r="J77" s="49">
        <v>400</v>
      </c>
      <c r="K77" s="49">
        <v>400</v>
      </c>
      <c r="L77" s="598">
        <f aca="true" t="shared" si="1" ref="L77:L95">K77/J77</f>
        <v>1</v>
      </c>
    </row>
    <row r="78" spans="1:12" ht="39" customHeight="1" outlineLevel="2">
      <c r="A78" s="602" t="s">
        <v>515</v>
      </c>
      <c r="B78" s="604"/>
      <c r="C78" s="604"/>
      <c r="D78" s="604"/>
      <c r="E78" s="604"/>
      <c r="F78" s="604"/>
      <c r="G78" s="605">
        <f>G79</f>
        <v>2840.74</v>
      </c>
      <c r="H78" s="605">
        <f>H79</f>
        <v>2535.25</v>
      </c>
      <c r="I78" s="605">
        <f>I79</f>
        <v>957.53</v>
      </c>
      <c r="J78" s="605">
        <f>J79</f>
        <v>2840.45</v>
      </c>
      <c r="K78" s="605">
        <f>K79</f>
        <v>2840.45</v>
      </c>
      <c r="L78" s="606">
        <f t="shared" si="1"/>
        <v>1</v>
      </c>
    </row>
    <row r="79" spans="1:12" ht="30" outlineLevel="2">
      <c r="A79" s="51" t="s">
        <v>515</v>
      </c>
      <c r="B79" s="48" t="s">
        <v>514</v>
      </c>
      <c r="C79" s="48" t="s">
        <v>392</v>
      </c>
      <c r="D79" s="48" t="s">
        <v>386</v>
      </c>
      <c r="E79" s="48"/>
      <c r="F79" s="48"/>
      <c r="G79" s="49">
        <v>2840.74</v>
      </c>
      <c r="H79" s="49">
        <v>2535.25</v>
      </c>
      <c r="I79" s="49">
        <v>957.53</v>
      </c>
      <c r="J79" s="49">
        <f>прил_4!O173</f>
        <v>2840.45</v>
      </c>
      <c r="K79" s="49">
        <v>2840.45</v>
      </c>
      <c r="L79" s="598">
        <f t="shared" si="1"/>
        <v>1</v>
      </c>
    </row>
    <row r="80" spans="1:12" ht="70.5" customHeight="1" outlineLevel="2">
      <c r="A80" s="602" t="s">
        <v>352</v>
      </c>
      <c r="B80" s="604"/>
      <c r="C80" s="604"/>
      <c r="D80" s="604"/>
      <c r="E80" s="604"/>
      <c r="F80" s="604"/>
      <c r="G80" s="605">
        <f>G81+G88+G90</f>
        <v>36229.3</v>
      </c>
      <c r="H80" s="605">
        <f>H81+H88</f>
        <v>36379</v>
      </c>
      <c r="I80" s="605">
        <f>I81+I88</f>
        <v>38052.4</v>
      </c>
      <c r="J80" s="605">
        <f>J81+J88+J90+J91</f>
        <v>38272.270000000004</v>
      </c>
      <c r="K80" s="605">
        <f>K81+K88+K90+K91</f>
        <v>38272.270000000004</v>
      </c>
      <c r="L80" s="606">
        <f t="shared" si="1"/>
        <v>1</v>
      </c>
    </row>
    <row r="81" spans="1:13" ht="45" outlineLevel="2">
      <c r="A81" s="51" t="s">
        <v>353</v>
      </c>
      <c r="B81" s="48" t="s">
        <v>514</v>
      </c>
      <c r="C81" s="48" t="s">
        <v>487</v>
      </c>
      <c r="D81" s="48" t="s">
        <v>386</v>
      </c>
      <c r="E81" s="48"/>
      <c r="F81" s="48"/>
      <c r="G81" s="611">
        <v>34729.3</v>
      </c>
      <c r="H81" s="612">
        <v>36379</v>
      </c>
      <c r="I81" s="612">
        <v>38052.4</v>
      </c>
      <c r="J81" s="613">
        <v>34729.3</v>
      </c>
      <c r="K81" s="613">
        <v>34729.3</v>
      </c>
      <c r="L81" s="598">
        <f t="shared" si="1"/>
        <v>1</v>
      </c>
      <c r="M81" s="229"/>
    </row>
    <row r="82" spans="1:12" ht="30" hidden="1" outlineLevel="2">
      <c r="A82" s="51" t="s">
        <v>176</v>
      </c>
      <c r="B82" s="48" t="s">
        <v>514</v>
      </c>
      <c r="C82" s="48" t="s">
        <v>487</v>
      </c>
      <c r="D82" s="48" t="s">
        <v>391</v>
      </c>
      <c r="E82" s="48"/>
      <c r="F82" s="48"/>
      <c r="G82" s="49"/>
      <c r="J82" s="49"/>
      <c r="K82" s="49"/>
      <c r="L82" s="598" t="e">
        <f t="shared" si="1"/>
        <v>#DIV/0!</v>
      </c>
    </row>
    <row r="83" spans="1:12" ht="15.75" hidden="1" outlineLevel="2">
      <c r="A83" s="128"/>
      <c r="B83" s="48"/>
      <c r="C83" s="48"/>
      <c r="D83" s="48"/>
      <c r="E83" s="48"/>
      <c r="F83" s="48"/>
      <c r="G83" s="135"/>
      <c r="J83" s="135"/>
      <c r="K83" s="135"/>
      <c r="L83" s="598" t="e">
        <f t="shared" si="1"/>
        <v>#DIV/0!</v>
      </c>
    </row>
    <row r="84" spans="1:12" ht="30" hidden="1" outlineLevel="2">
      <c r="A84" s="51" t="s">
        <v>309</v>
      </c>
      <c r="B84" s="48" t="s">
        <v>514</v>
      </c>
      <c r="C84" s="48" t="s">
        <v>487</v>
      </c>
      <c r="D84" s="48" t="s">
        <v>391</v>
      </c>
      <c r="E84" s="48" t="s">
        <v>445</v>
      </c>
      <c r="F84" s="48" t="s">
        <v>185</v>
      </c>
      <c r="G84" s="133"/>
      <c r="J84" s="133"/>
      <c r="K84" s="133"/>
      <c r="L84" s="598" t="e">
        <f t="shared" si="1"/>
        <v>#DIV/0!</v>
      </c>
    </row>
    <row r="85" spans="1:12" ht="45" hidden="1" outlineLevel="2">
      <c r="A85" s="51" t="s">
        <v>310</v>
      </c>
      <c r="B85" s="48" t="s">
        <v>514</v>
      </c>
      <c r="C85" s="48" t="s">
        <v>487</v>
      </c>
      <c r="D85" s="48" t="s">
        <v>391</v>
      </c>
      <c r="E85" s="48" t="s">
        <v>446</v>
      </c>
      <c r="F85" s="48" t="s">
        <v>185</v>
      </c>
      <c r="G85" s="133"/>
      <c r="J85" s="133"/>
      <c r="K85" s="133"/>
      <c r="L85" s="598" t="e">
        <f t="shared" si="1"/>
        <v>#DIV/0!</v>
      </c>
    </row>
    <row r="86" spans="1:12" ht="45" hidden="1" outlineLevel="2">
      <c r="A86" s="51" t="s">
        <v>310</v>
      </c>
      <c r="B86" s="48" t="s">
        <v>514</v>
      </c>
      <c r="C86" s="48" t="s">
        <v>487</v>
      </c>
      <c r="D86" s="48" t="s">
        <v>391</v>
      </c>
      <c r="E86" s="48" t="s">
        <v>397</v>
      </c>
      <c r="F86" s="48" t="s">
        <v>185</v>
      </c>
      <c r="G86" s="133"/>
      <c r="J86" s="133"/>
      <c r="K86" s="133"/>
      <c r="L86" s="598" t="e">
        <f t="shared" si="1"/>
        <v>#DIV/0!</v>
      </c>
    </row>
    <row r="87" spans="1:12" ht="45" hidden="1" outlineLevel="2">
      <c r="A87" s="51" t="s">
        <v>310</v>
      </c>
      <c r="B87" s="48" t="s">
        <v>514</v>
      </c>
      <c r="C87" s="48" t="s">
        <v>487</v>
      </c>
      <c r="D87" s="48" t="s">
        <v>391</v>
      </c>
      <c r="E87" s="48" t="s">
        <v>308</v>
      </c>
      <c r="F87" s="48" t="s">
        <v>185</v>
      </c>
      <c r="G87" s="133"/>
      <c r="J87" s="133"/>
      <c r="K87" s="133"/>
      <c r="L87" s="598" t="e">
        <f t="shared" si="1"/>
        <v>#DIV/0!</v>
      </c>
    </row>
    <row r="88" spans="1:12" ht="17.25" customHeight="1" hidden="1" outlineLevel="2">
      <c r="A88" s="51" t="s">
        <v>153</v>
      </c>
      <c r="B88" s="48" t="s">
        <v>514</v>
      </c>
      <c r="C88" s="48" t="s">
        <v>487</v>
      </c>
      <c r="D88" s="48" t="s">
        <v>382</v>
      </c>
      <c r="E88" s="48"/>
      <c r="F88" s="48"/>
      <c r="G88" s="49"/>
      <c r="H88" s="49"/>
      <c r="I88" s="49"/>
      <c r="J88" s="49"/>
      <c r="K88" s="49"/>
      <c r="L88" s="598" t="e">
        <f t="shared" si="1"/>
        <v>#DIV/0!</v>
      </c>
    </row>
    <row r="89" spans="1:12" ht="15.75" hidden="1" outlineLevel="2">
      <c r="A89" s="51" t="s">
        <v>186</v>
      </c>
      <c r="B89" s="48" t="s">
        <v>514</v>
      </c>
      <c r="C89" s="48" t="s">
        <v>487</v>
      </c>
      <c r="D89" s="48" t="s">
        <v>382</v>
      </c>
      <c r="E89" s="48" t="s">
        <v>156</v>
      </c>
      <c r="F89" s="48" t="s">
        <v>185</v>
      </c>
      <c r="G89" s="133"/>
      <c r="J89" s="133"/>
      <c r="K89" s="133"/>
      <c r="L89" s="598" t="e">
        <f t="shared" si="1"/>
        <v>#DIV/0!</v>
      </c>
    </row>
    <row r="90" spans="1:12" ht="54.75" customHeight="1" outlineLevel="2">
      <c r="A90" s="51" t="s">
        <v>309</v>
      </c>
      <c r="B90" s="48" t="s">
        <v>514</v>
      </c>
      <c r="C90" s="48" t="s">
        <v>487</v>
      </c>
      <c r="D90" s="48" t="s">
        <v>382</v>
      </c>
      <c r="E90" s="48"/>
      <c r="F90" s="48"/>
      <c r="G90" s="133">
        <v>1500</v>
      </c>
      <c r="J90" s="133">
        <f>прил_4!O266</f>
        <v>2583.29</v>
      </c>
      <c r="K90" s="133">
        <v>2583.29</v>
      </c>
      <c r="L90" s="598">
        <f t="shared" si="1"/>
        <v>1</v>
      </c>
    </row>
    <row r="91" spans="1:12" ht="33.75" customHeight="1" outlineLevel="2">
      <c r="A91" s="51" t="s">
        <v>153</v>
      </c>
      <c r="B91" s="48" t="s">
        <v>514</v>
      </c>
      <c r="C91" s="48" t="s">
        <v>487</v>
      </c>
      <c r="D91" s="48" t="s">
        <v>382</v>
      </c>
      <c r="E91" s="48"/>
      <c r="F91" s="48"/>
      <c r="G91" s="133"/>
      <c r="J91" s="133">
        <v>959.68</v>
      </c>
      <c r="K91" s="133">
        <v>959.68</v>
      </c>
      <c r="L91" s="598">
        <f t="shared" si="1"/>
        <v>1</v>
      </c>
    </row>
    <row r="92" spans="1:12" s="76" customFormat="1" ht="15.75" customHeight="1" hidden="1">
      <c r="A92" s="83" t="s">
        <v>187</v>
      </c>
      <c r="B92" s="84"/>
      <c r="C92" s="84"/>
      <c r="D92" s="84"/>
      <c r="E92" s="84" t="s">
        <v>74</v>
      </c>
      <c r="F92" s="84" t="s">
        <v>75</v>
      </c>
      <c r="G92" s="228">
        <f>G93</f>
        <v>0</v>
      </c>
      <c r="H92" s="228">
        <f>H93</f>
        <v>5896.07</v>
      </c>
      <c r="I92" s="228">
        <f>I93</f>
        <v>12257.8</v>
      </c>
      <c r="J92" s="228">
        <f>J93</f>
        <v>0</v>
      </c>
      <c r="K92" s="228"/>
      <c r="L92" s="598" t="e">
        <f t="shared" si="1"/>
        <v>#DIV/0!</v>
      </c>
    </row>
    <row r="93" spans="1:12" ht="31.5" customHeight="1" hidden="1">
      <c r="A93" s="62" t="s">
        <v>187</v>
      </c>
      <c r="B93" s="72" t="s">
        <v>514</v>
      </c>
      <c r="C93" s="72" t="s">
        <v>188</v>
      </c>
      <c r="D93" s="72"/>
      <c r="E93" s="72"/>
      <c r="F93" s="72"/>
      <c r="G93" s="50"/>
      <c r="H93" s="264">
        <v>5896.07</v>
      </c>
      <c r="I93" s="135">
        <v>12257.8</v>
      </c>
      <c r="J93" s="50"/>
      <c r="K93" s="50"/>
      <c r="L93" s="598" t="e">
        <f t="shared" si="1"/>
        <v>#DIV/0!</v>
      </c>
    </row>
    <row r="94" spans="1:12" ht="31.5" customHeight="1" hidden="1">
      <c r="A94" s="231" t="s">
        <v>90</v>
      </c>
      <c r="B94" s="265"/>
      <c r="C94" s="265"/>
      <c r="D94" s="265"/>
      <c r="E94" s="265"/>
      <c r="F94" s="265"/>
      <c r="G94" s="230" t="e">
        <f>#REF!</f>
        <v>#REF!</v>
      </c>
      <c r="H94" s="230" t="e">
        <f>#REF!</f>
        <v>#REF!</v>
      </c>
      <c r="I94" s="230" t="e">
        <f>#REF!</f>
        <v>#REF!</v>
      </c>
      <c r="J94" s="230" t="e">
        <f>#REF!</f>
        <v>#REF!</v>
      </c>
      <c r="K94" s="230"/>
      <c r="L94" s="598" t="e">
        <f t="shared" si="1"/>
        <v>#REF!</v>
      </c>
    </row>
    <row r="95" spans="1:15" ht="26.25" customHeight="1">
      <c r="A95" s="587" t="s">
        <v>189</v>
      </c>
      <c r="B95" s="614"/>
      <c r="C95" s="614"/>
      <c r="D95" s="614"/>
      <c r="E95" s="614"/>
      <c r="F95" s="614"/>
      <c r="G95" s="615">
        <f>G12+G20+G22+G27+G41+G51+G66+G69+G73+G76+G78+G80+G92</f>
        <v>767735.89</v>
      </c>
      <c r="H95" s="615">
        <f>H12+H20+H22+H27+H41+H51+H66+H69+H73+H76+H78+H80+H92</f>
        <v>729661.6999999998</v>
      </c>
      <c r="I95" s="615">
        <f>I12+I20+I22+I27+I41+I51+I66+I69+I73+I76+I78+I80+I92</f>
        <v>811839.6000000001</v>
      </c>
      <c r="J95" s="615">
        <f>J12+J20+J22+J27+J41+J51+J66+J69+J73+J76+J78+J80+J92</f>
        <v>1094825.21</v>
      </c>
      <c r="K95" s="615">
        <f>K12+K20+K22+K27+K41+K51+K66+K69+K73+K76+K78+K80+K92</f>
        <v>925903.2</v>
      </c>
      <c r="L95" s="616">
        <f t="shared" si="1"/>
        <v>0.8457086953633448</v>
      </c>
      <c r="M95" s="617"/>
      <c r="O95" s="81"/>
    </row>
    <row r="96" spans="7:10" ht="15" hidden="1">
      <c r="G96" s="54">
        <v>4538.1</v>
      </c>
      <c r="J96" s="54">
        <v>4538.1</v>
      </c>
    </row>
    <row r="97" spans="7:12" ht="12.75" customHeight="1" hidden="1">
      <c r="G97" s="80">
        <f>G95-G96</f>
        <v>763197.79</v>
      </c>
      <c r="J97" s="80">
        <f>J95-J96</f>
        <v>1090287.1099999999</v>
      </c>
      <c r="K97" s="80"/>
      <c r="L97" s="481"/>
    </row>
    <row r="98" ht="15" customHeight="1" hidden="1"/>
    <row r="99" spans="2:9" ht="15">
      <c r="B99" s="119"/>
      <c r="C99" s="120"/>
      <c r="H99" s="320"/>
      <c r="I99" s="321"/>
    </row>
    <row r="100" spans="2:12" ht="15">
      <c r="B100" s="119"/>
      <c r="C100" s="119"/>
      <c r="G100" s="81"/>
      <c r="H100" s="81"/>
      <c r="I100" s="81"/>
      <c r="J100" s="81"/>
      <c r="K100" s="81"/>
      <c r="L100" s="589"/>
    </row>
    <row r="101" spans="2:3" ht="15">
      <c r="B101" s="119"/>
      <c r="C101" s="120"/>
    </row>
    <row r="102" spans="7:12" ht="15">
      <c r="G102" s="81"/>
      <c r="H102" s="81"/>
      <c r="I102" s="81"/>
      <c r="J102" s="81"/>
      <c r="K102" s="81"/>
      <c r="L102" s="589"/>
    </row>
    <row r="103" spans="3:12" ht="15">
      <c r="C103" s="121"/>
      <c r="D103" s="214"/>
      <c r="E103" s="214"/>
      <c r="F103" s="214"/>
      <c r="J103" s="81"/>
      <c r="K103" s="81"/>
      <c r="L103" s="589"/>
    </row>
    <row r="104" spans="2:3" ht="15">
      <c r="B104" s="119"/>
      <c r="C104" s="120"/>
    </row>
    <row r="105" spans="2:12" ht="15">
      <c r="B105" s="119"/>
      <c r="C105" s="120"/>
      <c r="G105" s="81"/>
      <c r="H105" s="81"/>
      <c r="I105" s="81"/>
      <c r="J105" s="81"/>
      <c r="K105" s="81"/>
      <c r="L105" s="589"/>
    </row>
    <row r="106" spans="2:12" ht="15.75">
      <c r="B106" s="119"/>
      <c r="G106" s="599"/>
      <c r="H106" s="600"/>
      <c r="I106" s="600"/>
      <c r="J106" s="599"/>
      <c r="K106" s="599"/>
      <c r="L106" s="601"/>
    </row>
    <row r="107" ht="15">
      <c r="B107" s="119"/>
    </row>
    <row r="111" spans="7:13" ht="15">
      <c r="G111" s="800"/>
      <c r="H111" s="800"/>
      <c r="I111" s="120"/>
      <c r="J111" s="120"/>
      <c r="K111" s="120"/>
      <c r="L111" s="590"/>
      <c r="M111" s="120"/>
    </row>
    <row r="112" spans="7:13" ht="15">
      <c r="G112" s="800"/>
      <c r="H112" s="800"/>
      <c r="I112" s="318"/>
      <c r="J112" s="318"/>
      <c r="K112" s="318"/>
      <c r="L112" s="410"/>
      <c r="M112" s="318"/>
    </row>
    <row r="113" spans="7:13" ht="15">
      <c r="G113" s="71"/>
      <c r="H113" s="71"/>
      <c r="I113" s="71"/>
      <c r="J113" s="71"/>
      <c r="K113" s="71"/>
      <c r="L113" s="591"/>
      <c r="M113" s="71"/>
    </row>
    <row r="114" spans="7:13" ht="15">
      <c r="G114" s="71"/>
      <c r="H114" s="71"/>
      <c r="I114" s="319"/>
      <c r="J114" s="71"/>
      <c r="K114" s="71"/>
      <c r="L114" s="591"/>
      <c r="M114" s="120"/>
    </row>
    <row r="1013" ht="6" customHeight="1"/>
    <row r="1034" ht="9.75" customHeight="1"/>
  </sheetData>
  <sheetProtection/>
  <mergeCells count="11">
    <mergeCell ref="A6:E6"/>
    <mergeCell ref="I9:I10"/>
    <mergeCell ref="A9:A10"/>
    <mergeCell ref="B9:F9"/>
    <mergeCell ref="G9:G10"/>
    <mergeCell ref="H9:H10"/>
    <mergeCell ref="J9:J10"/>
    <mergeCell ref="L9:L10"/>
    <mergeCell ref="G111:H111"/>
    <mergeCell ref="G112:H112"/>
    <mergeCell ref="K9:K10"/>
  </mergeCells>
  <printOptions/>
  <pageMargins left="0.4330708661417323" right="0.7480314960629921" top="0.1968503937007874" bottom="0.31496062992125984" header="0.5118110236220472" footer="0.5118110236220472"/>
  <pageSetup fitToHeight="1" fitToWidth="1" horizontalDpi="600" verticalDpi="600" orientation="portrait" paperSize="9" scale="46" r:id="rId1"/>
  <rowBreaks count="1" manualBreakCount="1">
    <brk id="9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5"/>
  </sheetPr>
  <dimension ref="A1:BY1272"/>
  <sheetViews>
    <sheetView view="pageBreakPreview" zoomScale="60" zoomScaleNormal="58" zoomScalePageLayoutView="0" workbookViewId="0" topLeftCell="A1">
      <selection activeCell="D393" sqref="D393"/>
    </sheetView>
  </sheetViews>
  <sheetFormatPr defaultColWidth="9.140625" defaultRowHeight="12.75" outlineLevelRow="2"/>
  <cols>
    <col min="1" max="1" width="45.8515625" style="47" customWidth="1"/>
    <col min="2" max="2" width="14.8515625" style="71" bestFit="1" customWidth="1"/>
    <col min="3" max="4" width="13.28125" style="71" bestFit="1" customWidth="1"/>
    <col min="5" max="5" width="6.57421875" style="71" customWidth="1"/>
    <col min="6" max="6" width="6.140625" style="71" customWidth="1"/>
    <col min="7" max="7" width="5.57421875" style="71" customWidth="1"/>
    <col min="8" max="8" width="5.421875" style="71" customWidth="1"/>
    <col min="9" max="9" width="4.28125" style="71" customWidth="1"/>
    <col min="10" max="10" width="3.7109375" style="71" customWidth="1"/>
    <col min="11" max="11" width="6.28125" style="71" customWidth="1"/>
    <col min="12" max="12" width="10.00390625" style="71" customWidth="1"/>
    <col min="13" max="13" width="8.7109375" style="71" hidden="1" customWidth="1"/>
    <col min="14" max="14" width="19.8515625" style="318" hidden="1" customWidth="1"/>
    <col min="15" max="16" width="19.8515625" style="318" customWidth="1"/>
    <col min="17" max="17" width="19.8515625" style="410" customWidth="1"/>
    <col min="18" max="18" width="19.140625" style="54" customWidth="1"/>
    <col min="19" max="19" width="19.421875" style="54" customWidth="1"/>
    <col min="20" max="16384" width="9.140625" style="54" customWidth="1"/>
  </cols>
  <sheetData>
    <row r="1" spans="1:77" s="58" customFormat="1" ht="15">
      <c r="A1" s="57"/>
      <c r="B1" s="70"/>
      <c r="C1" s="70"/>
      <c r="D1" s="70"/>
      <c r="L1" s="70"/>
      <c r="M1" s="70"/>
      <c r="N1" s="82" t="s">
        <v>763</v>
      </c>
      <c r="O1" s="82" t="s">
        <v>206</v>
      </c>
      <c r="P1" s="82"/>
      <c r="Q1" s="592"/>
      <c r="BW1" s="59"/>
      <c r="BX1" s="59"/>
      <c r="BY1" s="59"/>
    </row>
    <row r="2" spans="1:77" s="58" customFormat="1" ht="15">
      <c r="A2" s="57"/>
      <c r="B2" s="70"/>
      <c r="C2" s="70"/>
      <c r="D2" s="70"/>
      <c r="L2" s="70"/>
      <c r="M2" s="70"/>
      <c r="N2" s="82" t="s">
        <v>357</v>
      </c>
      <c r="O2" s="82" t="s">
        <v>357</v>
      </c>
      <c r="P2" s="82"/>
      <c r="Q2" s="592"/>
      <c r="AP2" s="60"/>
      <c r="AQ2" s="60"/>
      <c r="BW2" s="59"/>
      <c r="BX2" s="59"/>
      <c r="BY2" s="59"/>
    </row>
    <row r="3" spans="1:77" s="58" customFormat="1" ht="15">
      <c r="A3" s="57"/>
      <c r="B3" s="70"/>
      <c r="C3" s="70"/>
      <c r="D3" s="70"/>
      <c r="L3" s="70"/>
      <c r="M3" s="70"/>
      <c r="N3" s="82" t="s">
        <v>500</v>
      </c>
      <c r="O3" s="82" t="s">
        <v>500</v>
      </c>
      <c r="P3" s="82"/>
      <c r="Q3" s="592"/>
      <c r="AP3" s="60"/>
      <c r="AQ3" s="60"/>
      <c r="BW3" s="59"/>
      <c r="BX3" s="59"/>
      <c r="BY3" s="59"/>
    </row>
    <row r="4" spans="1:77" s="58" customFormat="1" ht="15">
      <c r="A4" s="57"/>
      <c r="B4" s="70"/>
      <c r="C4" s="70"/>
      <c r="D4" s="70"/>
      <c r="L4" s="70"/>
      <c r="M4" s="70"/>
      <c r="N4" s="82" t="s">
        <v>501</v>
      </c>
      <c r="O4" s="82" t="s">
        <v>501</v>
      </c>
      <c r="P4" s="82"/>
      <c r="Q4" s="592"/>
      <c r="AP4" s="60"/>
      <c r="AQ4" s="60"/>
      <c r="BW4" s="59"/>
      <c r="BX4" s="59"/>
      <c r="BY4" s="59"/>
    </row>
    <row r="5" spans="1:77" s="58" customFormat="1" ht="15">
      <c r="A5" s="57"/>
      <c r="B5" s="70"/>
      <c r="C5" s="70"/>
      <c r="D5" s="70"/>
      <c r="E5" s="71"/>
      <c r="F5" s="71"/>
      <c r="G5" s="71"/>
      <c r="H5" s="71"/>
      <c r="I5" s="71"/>
      <c r="J5" s="71"/>
      <c r="K5" s="71"/>
      <c r="L5" s="70"/>
      <c r="M5" s="70"/>
      <c r="N5" s="346"/>
      <c r="O5" s="346"/>
      <c r="P5" s="346"/>
      <c r="Q5" s="346"/>
      <c r="AP5" s="60"/>
      <c r="AQ5" s="60"/>
      <c r="BW5" s="59"/>
      <c r="BX5" s="59"/>
      <c r="BY5" s="59"/>
    </row>
    <row r="6" spans="1:77" s="58" customFormat="1" ht="15">
      <c r="A6" s="130" t="s">
        <v>764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347"/>
      <c r="M6" s="347"/>
      <c r="N6" s="346"/>
      <c r="O6" s="346"/>
      <c r="P6" s="346"/>
      <c r="Q6" s="346"/>
      <c r="AP6" s="60"/>
      <c r="AQ6" s="60"/>
      <c r="BW6" s="59"/>
      <c r="BX6" s="59"/>
      <c r="BY6" s="59"/>
    </row>
    <row r="7" spans="1:77" s="58" customFormat="1" ht="15">
      <c r="A7" s="57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346"/>
      <c r="O7" s="346"/>
      <c r="P7" s="346"/>
      <c r="Q7" s="346"/>
      <c r="AP7" s="60"/>
      <c r="AQ7" s="60"/>
      <c r="BW7" s="59"/>
      <c r="BX7" s="59"/>
      <c r="BY7" s="59"/>
    </row>
    <row r="8" spans="1:17" ht="15" customHeight="1">
      <c r="A8" s="804" t="s">
        <v>261</v>
      </c>
      <c r="B8" s="806" t="s">
        <v>473</v>
      </c>
      <c r="C8" s="806"/>
      <c r="D8" s="806"/>
      <c r="E8" s="806"/>
      <c r="F8" s="806"/>
      <c r="G8" s="806"/>
      <c r="H8" s="806"/>
      <c r="I8" s="806"/>
      <c r="J8" s="806"/>
      <c r="K8" s="806"/>
      <c r="L8" s="806"/>
      <c r="M8" s="67"/>
      <c r="N8" s="807" t="s">
        <v>311</v>
      </c>
      <c r="O8" s="807" t="s">
        <v>960</v>
      </c>
      <c r="P8" s="811" t="s">
        <v>1010</v>
      </c>
      <c r="Q8" s="655" t="s">
        <v>1011</v>
      </c>
    </row>
    <row r="9" spans="1:17" ht="75" customHeight="1">
      <c r="A9" s="805"/>
      <c r="B9" s="67" t="s">
        <v>511</v>
      </c>
      <c r="C9" s="67" t="s">
        <v>474</v>
      </c>
      <c r="D9" s="67" t="s">
        <v>475</v>
      </c>
      <c r="E9" s="808" t="s">
        <v>765</v>
      </c>
      <c r="F9" s="809"/>
      <c r="G9" s="348" t="s">
        <v>766</v>
      </c>
      <c r="H9" s="808" t="s">
        <v>767</v>
      </c>
      <c r="I9" s="810"/>
      <c r="J9" s="810"/>
      <c r="K9" s="809"/>
      <c r="L9" s="67" t="s">
        <v>477</v>
      </c>
      <c r="M9" s="67" t="s">
        <v>232</v>
      </c>
      <c r="N9" s="807"/>
      <c r="O9" s="807"/>
      <c r="P9" s="812"/>
      <c r="Q9" s="655"/>
    </row>
    <row r="10" spans="1:17" ht="15">
      <c r="A10" s="61">
        <v>1</v>
      </c>
      <c r="B10" s="68" t="s">
        <v>478</v>
      </c>
      <c r="C10" s="68" t="s">
        <v>479</v>
      </c>
      <c r="D10" s="68" t="s">
        <v>480</v>
      </c>
      <c r="E10" s="68" t="s">
        <v>470</v>
      </c>
      <c r="F10" s="68" t="s">
        <v>481</v>
      </c>
      <c r="G10" s="68" t="s">
        <v>546</v>
      </c>
      <c r="H10" s="68" t="s">
        <v>548</v>
      </c>
      <c r="I10" s="68" t="s">
        <v>552</v>
      </c>
      <c r="J10" s="68" t="s">
        <v>483</v>
      </c>
      <c r="K10" s="68" t="s">
        <v>251</v>
      </c>
      <c r="L10" s="68" t="s">
        <v>252</v>
      </c>
      <c r="M10" s="68" t="s">
        <v>392</v>
      </c>
      <c r="N10" s="68" t="s">
        <v>487</v>
      </c>
      <c r="O10" s="68" t="s">
        <v>487</v>
      </c>
      <c r="P10" s="68"/>
      <c r="Q10" s="593"/>
    </row>
    <row r="11" spans="1:18" ht="84" customHeight="1" outlineLevel="1">
      <c r="A11" s="349" t="s">
        <v>768</v>
      </c>
      <c r="B11" s="350" t="s">
        <v>488</v>
      </c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1">
        <f>N13+N49+N51+N53+N64+N81</f>
        <v>35092.49</v>
      </c>
      <c r="O11" s="351">
        <f>O13+O51+O53+O64+O68+O69+O70+O71+O72+O73+O74+O75+O76+O78+O79+O80+O81+O83+O84</f>
        <v>303843.49999999994</v>
      </c>
      <c r="P11" s="351">
        <f>P13+P51+P53+P64+P68+P69+P70+P71+P72+P73+P74+P75+P76+P78+P79+P80+P81+P83+P84</f>
        <v>172263.14</v>
      </c>
      <c r="Q11" s="595">
        <f>P11/O11</f>
        <v>0.5669469315618074</v>
      </c>
      <c r="R11" s="80">
        <f>O15+O18+O19+O20+O24+O25+O35+O41+O48+O51+O53+O64+O68+O69+O70+O71+O72+O73+O74+O75+O76+O78+O79+O80+O81+O83+O84</f>
        <v>303843.49999999994</v>
      </c>
    </row>
    <row r="12" spans="1:17" ht="45" hidden="1" outlineLevel="2">
      <c r="A12" s="51" t="s">
        <v>348</v>
      </c>
      <c r="B12" s="48" t="s">
        <v>514</v>
      </c>
      <c r="C12" s="48" t="s">
        <v>386</v>
      </c>
      <c r="D12" s="48" t="s">
        <v>391</v>
      </c>
      <c r="E12" s="48"/>
      <c r="F12" s="48"/>
      <c r="G12" s="48"/>
      <c r="H12" s="48"/>
      <c r="I12" s="48"/>
      <c r="J12" s="48"/>
      <c r="K12" s="48"/>
      <c r="L12" s="48"/>
      <c r="M12" s="48"/>
      <c r="N12" s="49">
        <f>N14+N25</f>
        <v>40009.24</v>
      </c>
      <c r="O12" s="49">
        <f>O14+O25</f>
        <v>36525.82</v>
      </c>
      <c r="P12" s="49"/>
      <c r="Q12" s="595">
        <f aca="true" t="shared" si="0" ref="Q12:Q75">P12/O12</f>
        <v>0</v>
      </c>
    </row>
    <row r="13" spans="1:17" s="66" customFormat="1" ht="52.5" customHeight="1" outlineLevel="2">
      <c r="A13" s="352" t="s">
        <v>769</v>
      </c>
      <c r="B13" s="353" t="s">
        <v>488</v>
      </c>
      <c r="C13" s="353" t="s">
        <v>386</v>
      </c>
      <c r="D13" s="353"/>
      <c r="E13" s="353" t="s">
        <v>528</v>
      </c>
      <c r="F13" s="353" t="s">
        <v>770</v>
      </c>
      <c r="G13" s="353"/>
      <c r="H13" s="353"/>
      <c r="I13" s="353"/>
      <c r="J13" s="353"/>
      <c r="K13" s="353"/>
      <c r="L13" s="353" t="s">
        <v>369</v>
      </c>
      <c r="M13" s="354"/>
      <c r="N13" s="355">
        <f>N14</f>
        <v>30631.89</v>
      </c>
      <c r="O13" s="355">
        <f>O14</f>
        <v>29379.32</v>
      </c>
      <c r="P13" s="355">
        <f>P14</f>
        <v>29379.320000000003</v>
      </c>
      <c r="Q13" s="595">
        <f t="shared" si="0"/>
        <v>1.0000000000000002</v>
      </c>
    </row>
    <row r="14" spans="1:17" ht="70.5" customHeight="1" outlineLevel="2">
      <c r="A14" s="51" t="s">
        <v>771</v>
      </c>
      <c r="B14" s="48" t="s">
        <v>488</v>
      </c>
      <c r="C14" s="48" t="s">
        <v>386</v>
      </c>
      <c r="D14" s="48"/>
      <c r="E14" s="48" t="s">
        <v>528</v>
      </c>
      <c r="F14" s="48" t="s">
        <v>770</v>
      </c>
      <c r="G14" s="48" t="s">
        <v>528</v>
      </c>
      <c r="H14" s="48"/>
      <c r="I14" s="48"/>
      <c r="J14" s="48"/>
      <c r="K14" s="48"/>
      <c r="L14" s="48" t="s">
        <v>369</v>
      </c>
      <c r="M14" s="48"/>
      <c r="N14" s="49">
        <f>N15+N20+N25+N35+N41</f>
        <v>30631.89</v>
      </c>
      <c r="O14" s="49">
        <f>O15+O18+O19+O20+O24+O25+O35+O41+O48</f>
        <v>29379.32</v>
      </c>
      <c r="P14" s="49">
        <f>P15+P18+P19+P20+P24+P25+P35+P41+P48</f>
        <v>29379.320000000003</v>
      </c>
      <c r="Q14" s="595">
        <f t="shared" si="0"/>
        <v>1.0000000000000002</v>
      </c>
    </row>
    <row r="15" spans="1:18" ht="33" customHeight="1" outlineLevel="2">
      <c r="A15" s="51" t="s">
        <v>772</v>
      </c>
      <c r="B15" s="48" t="s">
        <v>488</v>
      </c>
      <c r="C15" s="48" t="s">
        <v>386</v>
      </c>
      <c r="D15" s="48" t="s">
        <v>382</v>
      </c>
      <c r="E15" s="48" t="s">
        <v>528</v>
      </c>
      <c r="F15" s="48" t="s">
        <v>770</v>
      </c>
      <c r="G15" s="48" t="s">
        <v>528</v>
      </c>
      <c r="H15" s="48" t="s">
        <v>528</v>
      </c>
      <c r="I15" s="48" t="s">
        <v>770</v>
      </c>
      <c r="J15" s="48" t="s">
        <v>770</v>
      </c>
      <c r="K15" s="48" t="s">
        <v>528</v>
      </c>
      <c r="L15" s="48" t="s">
        <v>773</v>
      </c>
      <c r="M15" s="48"/>
      <c r="N15" s="49">
        <f>N16+N17+184.14</f>
        <v>2031</v>
      </c>
      <c r="O15" s="49">
        <v>1952.12</v>
      </c>
      <c r="P15" s="49">
        <v>1952.12</v>
      </c>
      <c r="Q15" s="595">
        <f t="shared" si="0"/>
        <v>1</v>
      </c>
      <c r="R15" s="81">
        <f>P15+P18+P20+P24+P25+P35+P41+P48+P85</f>
        <v>31618.79</v>
      </c>
    </row>
    <row r="16" spans="1:17" ht="21" customHeight="1" hidden="1" outlineLevel="2">
      <c r="A16" s="51" t="s">
        <v>774</v>
      </c>
      <c r="B16" s="48" t="s">
        <v>488</v>
      </c>
      <c r="C16" s="48" t="s">
        <v>386</v>
      </c>
      <c r="D16" s="48" t="s">
        <v>382</v>
      </c>
      <c r="E16" s="48"/>
      <c r="F16" s="48"/>
      <c r="G16" s="48"/>
      <c r="H16" s="48"/>
      <c r="I16" s="48"/>
      <c r="J16" s="48"/>
      <c r="K16" s="48"/>
      <c r="L16" s="48" t="s">
        <v>635</v>
      </c>
      <c r="M16" s="48" t="s">
        <v>636</v>
      </c>
      <c r="N16" s="49">
        <v>1418.48</v>
      </c>
      <c r="O16" s="49">
        <v>1418.48</v>
      </c>
      <c r="P16" s="49"/>
      <c r="Q16" s="595">
        <f t="shared" si="0"/>
        <v>0</v>
      </c>
    </row>
    <row r="17" spans="1:17" ht="18.75" customHeight="1" hidden="1" outlineLevel="2">
      <c r="A17" s="51" t="s">
        <v>775</v>
      </c>
      <c r="B17" s="48" t="s">
        <v>488</v>
      </c>
      <c r="C17" s="48" t="s">
        <v>386</v>
      </c>
      <c r="D17" s="48" t="s">
        <v>382</v>
      </c>
      <c r="E17" s="48"/>
      <c r="F17" s="48"/>
      <c r="G17" s="48"/>
      <c r="H17" s="48"/>
      <c r="I17" s="48"/>
      <c r="J17" s="48"/>
      <c r="K17" s="48"/>
      <c r="L17" s="48" t="s">
        <v>635</v>
      </c>
      <c r="M17" s="48" t="s">
        <v>637</v>
      </c>
      <c r="N17" s="49">
        <v>428.38</v>
      </c>
      <c r="O17" s="49">
        <v>428.38</v>
      </c>
      <c r="P17" s="49"/>
      <c r="Q17" s="595">
        <f t="shared" si="0"/>
        <v>0</v>
      </c>
    </row>
    <row r="18" spans="1:17" ht="54.75" customHeight="1" outlineLevel="2">
      <c r="A18" s="51" t="s">
        <v>337</v>
      </c>
      <c r="B18" s="48" t="s">
        <v>488</v>
      </c>
      <c r="C18" s="48" t="s">
        <v>386</v>
      </c>
      <c r="D18" s="48" t="s">
        <v>390</v>
      </c>
      <c r="E18" s="48" t="s">
        <v>552</v>
      </c>
      <c r="F18" s="48" t="s">
        <v>552</v>
      </c>
      <c r="G18" s="48" t="s">
        <v>548</v>
      </c>
      <c r="H18" s="48" t="s">
        <v>470</v>
      </c>
      <c r="I18" s="48" t="s">
        <v>528</v>
      </c>
      <c r="J18" s="48" t="s">
        <v>478</v>
      </c>
      <c r="K18" s="48" t="s">
        <v>770</v>
      </c>
      <c r="L18" s="48" t="s">
        <v>778</v>
      </c>
      <c r="M18" s="48"/>
      <c r="N18" s="49"/>
      <c r="O18" s="49">
        <v>1</v>
      </c>
      <c r="P18" s="49">
        <v>1</v>
      </c>
      <c r="Q18" s="595">
        <f t="shared" si="0"/>
        <v>1</v>
      </c>
    </row>
    <row r="19" spans="1:17" ht="54.75" customHeight="1" outlineLevel="2">
      <c r="A19" s="51" t="s">
        <v>516</v>
      </c>
      <c r="B19" s="48" t="s">
        <v>488</v>
      </c>
      <c r="C19" s="48" t="s">
        <v>386</v>
      </c>
      <c r="D19" s="48" t="s">
        <v>251</v>
      </c>
      <c r="E19" s="48" t="s">
        <v>528</v>
      </c>
      <c r="F19" s="48" t="s">
        <v>770</v>
      </c>
      <c r="G19" s="48" t="s">
        <v>478</v>
      </c>
      <c r="H19" s="48" t="s">
        <v>528</v>
      </c>
      <c r="I19" s="48" t="s">
        <v>770</v>
      </c>
      <c r="J19" s="48" t="s">
        <v>770</v>
      </c>
      <c r="K19" s="48" t="s">
        <v>479</v>
      </c>
      <c r="L19" s="48" t="s">
        <v>778</v>
      </c>
      <c r="M19" s="48"/>
      <c r="N19" s="49"/>
      <c r="O19" s="49">
        <v>10.44</v>
      </c>
      <c r="P19" s="49">
        <v>10.44</v>
      </c>
      <c r="Q19" s="595">
        <f t="shared" si="0"/>
        <v>1</v>
      </c>
    </row>
    <row r="20" spans="1:17" ht="42.75" customHeight="1" outlineLevel="2">
      <c r="A20" s="51" t="s">
        <v>348</v>
      </c>
      <c r="B20" s="48" t="s">
        <v>488</v>
      </c>
      <c r="C20" s="48" t="s">
        <v>386</v>
      </c>
      <c r="D20" s="48" t="s">
        <v>392</v>
      </c>
      <c r="E20" s="48" t="s">
        <v>528</v>
      </c>
      <c r="F20" s="48" t="s">
        <v>770</v>
      </c>
      <c r="G20" s="48" t="s">
        <v>528</v>
      </c>
      <c r="H20" s="48" t="s">
        <v>528</v>
      </c>
      <c r="I20" s="48" t="s">
        <v>770</v>
      </c>
      <c r="J20" s="48" t="s">
        <v>770</v>
      </c>
      <c r="K20" s="48" t="s">
        <v>478</v>
      </c>
      <c r="L20" s="48" t="s">
        <v>773</v>
      </c>
      <c r="M20" s="48"/>
      <c r="N20" s="49">
        <f>N21+N22+N23+594+1190.81</f>
        <v>18532.64</v>
      </c>
      <c r="O20" s="49">
        <v>19442.17</v>
      </c>
      <c r="P20" s="49">
        <f>19426.77+15.4</f>
        <v>19442.170000000002</v>
      </c>
      <c r="Q20" s="595">
        <f t="shared" si="0"/>
        <v>1.0000000000000002</v>
      </c>
    </row>
    <row r="21" spans="1:17" ht="21" customHeight="1" hidden="1" outlineLevel="2">
      <c r="A21" s="51" t="s">
        <v>774</v>
      </c>
      <c r="B21" s="48" t="s">
        <v>488</v>
      </c>
      <c r="C21" s="48" t="s">
        <v>386</v>
      </c>
      <c r="D21" s="48" t="s">
        <v>392</v>
      </c>
      <c r="E21" s="48" t="s">
        <v>528</v>
      </c>
      <c r="F21" s="48" t="s">
        <v>770</v>
      </c>
      <c r="G21" s="48" t="s">
        <v>528</v>
      </c>
      <c r="H21" s="48" t="s">
        <v>528</v>
      </c>
      <c r="I21" s="48" t="s">
        <v>770</v>
      </c>
      <c r="J21" s="48" t="s">
        <v>770</v>
      </c>
      <c r="K21" s="48" t="s">
        <v>528</v>
      </c>
      <c r="L21" s="48" t="s">
        <v>635</v>
      </c>
      <c r="M21" s="48" t="s">
        <v>636</v>
      </c>
      <c r="N21" s="49">
        <v>12850.25</v>
      </c>
      <c r="O21" s="49">
        <v>12850.25</v>
      </c>
      <c r="P21" s="49"/>
      <c r="Q21" s="595">
        <f t="shared" si="0"/>
        <v>0</v>
      </c>
    </row>
    <row r="22" spans="1:17" ht="21" customHeight="1" hidden="1" outlineLevel="2">
      <c r="A22" s="51" t="s">
        <v>776</v>
      </c>
      <c r="B22" s="48" t="s">
        <v>488</v>
      </c>
      <c r="C22" s="48" t="s">
        <v>386</v>
      </c>
      <c r="D22" s="48" t="s">
        <v>392</v>
      </c>
      <c r="E22" s="48" t="s">
        <v>528</v>
      </c>
      <c r="F22" s="48" t="s">
        <v>770</v>
      </c>
      <c r="G22" s="48" t="s">
        <v>528</v>
      </c>
      <c r="H22" s="48" t="s">
        <v>528</v>
      </c>
      <c r="I22" s="48" t="s">
        <v>770</v>
      </c>
      <c r="J22" s="48" t="s">
        <v>770</v>
      </c>
      <c r="K22" s="48" t="s">
        <v>528</v>
      </c>
      <c r="L22" s="48" t="s">
        <v>661</v>
      </c>
      <c r="M22" s="48" t="s">
        <v>660</v>
      </c>
      <c r="N22" s="49">
        <v>16.8</v>
      </c>
      <c r="O22" s="49">
        <v>16.8</v>
      </c>
      <c r="P22" s="49"/>
      <c r="Q22" s="595">
        <f t="shared" si="0"/>
        <v>0</v>
      </c>
    </row>
    <row r="23" spans="1:17" ht="18.75" customHeight="1" hidden="1" outlineLevel="2">
      <c r="A23" s="51" t="s">
        <v>775</v>
      </c>
      <c r="B23" s="48" t="s">
        <v>488</v>
      </c>
      <c r="C23" s="48" t="s">
        <v>386</v>
      </c>
      <c r="D23" s="48" t="s">
        <v>392</v>
      </c>
      <c r="E23" s="48" t="s">
        <v>528</v>
      </c>
      <c r="F23" s="48" t="s">
        <v>770</v>
      </c>
      <c r="G23" s="48" t="s">
        <v>528</v>
      </c>
      <c r="H23" s="48" t="s">
        <v>528</v>
      </c>
      <c r="I23" s="48" t="s">
        <v>770</v>
      </c>
      <c r="J23" s="48" t="s">
        <v>770</v>
      </c>
      <c r="K23" s="48" t="s">
        <v>528</v>
      </c>
      <c r="L23" s="48" t="s">
        <v>635</v>
      </c>
      <c r="M23" s="48" t="s">
        <v>637</v>
      </c>
      <c r="N23" s="49">
        <v>3880.78</v>
      </c>
      <c r="O23" s="49">
        <v>3880.78</v>
      </c>
      <c r="P23" s="49"/>
      <c r="Q23" s="595">
        <f t="shared" si="0"/>
        <v>0</v>
      </c>
    </row>
    <row r="24" spans="1:17" ht="18.75" customHeight="1" outlineLevel="2">
      <c r="A24" s="51" t="s">
        <v>1007</v>
      </c>
      <c r="B24" s="48" t="s">
        <v>488</v>
      </c>
      <c r="C24" s="48" t="s">
        <v>386</v>
      </c>
      <c r="D24" s="48" t="s">
        <v>392</v>
      </c>
      <c r="E24" s="48" t="s">
        <v>528</v>
      </c>
      <c r="F24" s="48" t="s">
        <v>770</v>
      </c>
      <c r="G24" s="48" t="s">
        <v>528</v>
      </c>
      <c r="H24" s="48" t="s">
        <v>528</v>
      </c>
      <c r="I24" s="48" t="s">
        <v>770</v>
      </c>
      <c r="J24" s="48" t="s">
        <v>770</v>
      </c>
      <c r="K24" s="48" t="s">
        <v>479</v>
      </c>
      <c r="L24" s="48" t="s">
        <v>773</v>
      </c>
      <c r="M24" s="48"/>
      <c r="N24" s="49"/>
      <c r="O24" s="49">
        <v>141.29</v>
      </c>
      <c r="P24" s="49">
        <v>141.29</v>
      </c>
      <c r="Q24" s="595">
        <f t="shared" si="0"/>
        <v>1</v>
      </c>
    </row>
    <row r="25" spans="1:19" ht="30" outlineLevel="2">
      <c r="A25" s="51" t="s">
        <v>777</v>
      </c>
      <c r="B25" s="48" t="s">
        <v>488</v>
      </c>
      <c r="C25" s="48" t="s">
        <v>386</v>
      </c>
      <c r="D25" s="48" t="s">
        <v>392</v>
      </c>
      <c r="E25" s="48" t="s">
        <v>528</v>
      </c>
      <c r="F25" s="48" t="s">
        <v>770</v>
      </c>
      <c r="G25" s="48" t="s">
        <v>528</v>
      </c>
      <c r="H25" s="48" t="s">
        <v>528</v>
      </c>
      <c r="I25" s="48" t="s">
        <v>770</v>
      </c>
      <c r="J25" s="48" t="s">
        <v>770</v>
      </c>
      <c r="K25" s="48" t="s">
        <v>479</v>
      </c>
      <c r="L25" s="48" t="s">
        <v>778</v>
      </c>
      <c r="M25" s="48"/>
      <c r="N25" s="49">
        <f>8127.35+1250</f>
        <v>9377.35</v>
      </c>
      <c r="O25" s="49">
        <v>7146.5</v>
      </c>
      <c r="P25" s="49">
        <v>7146.5</v>
      </c>
      <c r="Q25" s="595">
        <f t="shared" si="0"/>
        <v>1</v>
      </c>
      <c r="R25" s="80" t="e">
        <f>N20+N25+N35+N41+N48+N52+#REF!+N125+N126</f>
        <v>#REF!</v>
      </c>
      <c r="S25" s="80" t="e">
        <f>O20+O25+O35+O41+O48+O52+#REF!+O125+O126</f>
        <v>#REF!</v>
      </c>
    </row>
    <row r="26" spans="1:17" ht="15" customHeight="1" hidden="1" outlineLevel="2">
      <c r="A26" s="51" t="s">
        <v>779</v>
      </c>
      <c r="B26" s="48" t="s">
        <v>488</v>
      </c>
      <c r="C26" s="48" t="s">
        <v>386</v>
      </c>
      <c r="D26" s="48" t="s">
        <v>392</v>
      </c>
      <c r="E26" s="48"/>
      <c r="F26" s="48"/>
      <c r="G26" s="48"/>
      <c r="H26" s="48"/>
      <c r="I26" s="48"/>
      <c r="J26" s="48"/>
      <c r="K26" s="48"/>
      <c r="L26" s="48" t="s">
        <v>639</v>
      </c>
      <c r="M26" s="48" t="s">
        <v>640</v>
      </c>
      <c r="N26" s="49">
        <v>1104.5</v>
      </c>
      <c r="O26" s="49">
        <v>1104.5</v>
      </c>
      <c r="P26" s="49"/>
      <c r="Q26" s="595">
        <f t="shared" si="0"/>
        <v>0</v>
      </c>
    </row>
    <row r="27" spans="1:17" ht="15" customHeight="1" hidden="1" outlineLevel="2">
      <c r="A27" s="51" t="s">
        <v>780</v>
      </c>
      <c r="B27" s="48" t="s">
        <v>488</v>
      </c>
      <c r="C27" s="48" t="s">
        <v>386</v>
      </c>
      <c r="D27" s="48" t="s">
        <v>392</v>
      </c>
      <c r="E27" s="48"/>
      <c r="F27" s="48"/>
      <c r="G27" s="48"/>
      <c r="H27" s="48"/>
      <c r="I27" s="48"/>
      <c r="J27" s="48"/>
      <c r="K27" s="48"/>
      <c r="L27" s="48" t="s">
        <v>639</v>
      </c>
      <c r="M27" s="48" t="s">
        <v>641</v>
      </c>
      <c r="N27" s="49">
        <v>64.5</v>
      </c>
      <c r="O27" s="49">
        <v>64.5</v>
      </c>
      <c r="P27" s="49"/>
      <c r="Q27" s="595">
        <f t="shared" si="0"/>
        <v>0</v>
      </c>
    </row>
    <row r="28" spans="1:17" ht="15" customHeight="1" hidden="1" outlineLevel="2">
      <c r="A28" s="51" t="s">
        <v>781</v>
      </c>
      <c r="B28" s="48" t="s">
        <v>488</v>
      </c>
      <c r="C28" s="48" t="s">
        <v>386</v>
      </c>
      <c r="D28" s="48" t="s">
        <v>392</v>
      </c>
      <c r="E28" s="48"/>
      <c r="F28" s="48"/>
      <c r="G28" s="48"/>
      <c r="H28" s="48"/>
      <c r="I28" s="48"/>
      <c r="J28" s="48"/>
      <c r="K28" s="48"/>
      <c r="L28" s="48" t="s">
        <v>639</v>
      </c>
      <c r="M28" s="48" t="s">
        <v>642</v>
      </c>
      <c r="N28" s="49">
        <v>702.5</v>
      </c>
      <c r="O28" s="49">
        <v>702.5</v>
      </c>
      <c r="P28" s="49"/>
      <c r="Q28" s="595">
        <f t="shared" si="0"/>
        <v>0</v>
      </c>
    </row>
    <row r="29" spans="1:17" ht="15" customHeight="1" hidden="1" outlineLevel="2">
      <c r="A29" s="51" t="s">
        <v>782</v>
      </c>
      <c r="B29" s="48" t="s">
        <v>488</v>
      </c>
      <c r="C29" s="48" t="s">
        <v>386</v>
      </c>
      <c r="D29" s="48" t="s">
        <v>392</v>
      </c>
      <c r="E29" s="48"/>
      <c r="F29" s="48"/>
      <c r="G29" s="48"/>
      <c r="H29" s="48"/>
      <c r="I29" s="48"/>
      <c r="J29" s="48"/>
      <c r="K29" s="48"/>
      <c r="L29" s="48" t="s">
        <v>639</v>
      </c>
      <c r="M29" s="48" t="s">
        <v>643</v>
      </c>
      <c r="N29" s="49">
        <v>0</v>
      </c>
      <c r="O29" s="49">
        <v>0</v>
      </c>
      <c r="P29" s="49"/>
      <c r="Q29" s="595" t="e">
        <f t="shared" si="0"/>
        <v>#DIV/0!</v>
      </c>
    </row>
    <row r="30" spans="1:17" ht="15" customHeight="1" hidden="1" outlineLevel="2">
      <c r="A30" s="51" t="s">
        <v>783</v>
      </c>
      <c r="B30" s="48" t="s">
        <v>488</v>
      </c>
      <c r="C30" s="48" t="s">
        <v>386</v>
      </c>
      <c r="D30" s="48" t="s">
        <v>392</v>
      </c>
      <c r="E30" s="48"/>
      <c r="F30" s="48"/>
      <c r="G30" s="48"/>
      <c r="H30" s="48"/>
      <c r="I30" s="48"/>
      <c r="J30" s="48"/>
      <c r="K30" s="48"/>
      <c r="L30" s="48" t="s">
        <v>639</v>
      </c>
      <c r="M30" s="48" t="s">
        <v>644</v>
      </c>
      <c r="N30" s="49">
        <v>843.1</v>
      </c>
      <c r="O30" s="49">
        <v>843.1</v>
      </c>
      <c r="P30" s="49"/>
      <c r="Q30" s="595">
        <f t="shared" si="0"/>
        <v>0</v>
      </c>
    </row>
    <row r="31" spans="1:17" ht="15" customHeight="1" hidden="1" outlineLevel="2">
      <c r="A31" s="51" t="s">
        <v>784</v>
      </c>
      <c r="B31" s="48" t="s">
        <v>488</v>
      </c>
      <c r="C31" s="48" t="s">
        <v>386</v>
      </c>
      <c r="D31" s="48" t="s">
        <v>392</v>
      </c>
      <c r="E31" s="48"/>
      <c r="F31" s="48"/>
      <c r="G31" s="48"/>
      <c r="H31" s="48"/>
      <c r="I31" s="48"/>
      <c r="J31" s="48"/>
      <c r="K31" s="48"/>
      <c r="L31" s="48" t="s">
        <v>639</v>
      </c>
      <c r="M31" s="48" t="s">
        <v>645</v>
      </c>
      <c r="N31" s="49">
        <v>1183.9</v>
      </c>
      <c r="O31" s="49">
        <v>1183.9</v>
      </c>
      <c r="P31" s="49"/>
      <c r="Q31" s="595">
        <f t="shared" si="0"/>
        <v>0</v>
      </c>
    </row>
    <row r="32" spans="1:17" ht="15" customHeight="1" hidden="1" outlineLevel="2">
      <c r="A32" s="51" t="s">
        <v>785</v>
      </c>
      <c r="B32" s="48" t="s">
        <v>488</v>
      </c>
      <c r="C32" s="48" t="s">
        <v>386</v>
      </c>
      <c r="D32" s="48" t="s">
        <v>392</v>
      </c>
      <c r="E32" s="48"/>
      <c r="F32" s="48"/>
      <c r="G32" s="48"/>
      <c r="H32" s="48"/>
      <c r="I32" s="48"/>
      <c r="J32" s="48"/>
      <c r="K32" s="48"/>
      <c r="L32" s="48" t="s">
        <v>639</v>
      </c>
      <c r="M32" s="48" t="s">
        <v>646</v>
      </c>
      <c r="N32" s="49">
        <v>603.5</v>
      </c>
      <c r="O32" s="49">
        <v>603.5</v>
      </c>
      <c r="P32" s="49"/>
      <c r="Q32" s="595">
        <f t="shared" si="0"/>
        <v>0</v>
      </c>
    </row>
    <row r="33" spans="1:17" ht="15" customHeight="1" hidden="1" outlineLevel="2">
      <c r="A33" s="51" t="s">
        <v>786</v>
      </c>
      <c r="B33" s="48" t="s">
        <v>488</v>
      </c>
      <c r="C33" s="48" t="s">
        <v>386</v>
      </c>
      <c r="D33" s="48" t="s">
        <v>392</v>
      </c>
      <c r="E33" s="48"/>
      <c r="F33" s="48"/>
      <c r="G33" s="48"/>
      <c r="H33" s="48"/>
      <c r="I33" s="48"/>
      <c r="J33" s="48"/>
      <c r="K33" s="48"/>
      <c r="L33" s="48" t="s">
        <v>639</v>
      </c>
      <c r="M33" s="48" t="s">
        <v>647</v>
      </c>
      <c r="N33" s="49">
        <v>1260</v>
      </c>
      <c r="O33" s="49">
        <v>1260</v>
      </c>
      <c r="P33" s="49"/>
      <c r="Q33" s="595">
        <f t="shared" si="0"/>
        <v>0</v>
      </c>
    </row>
    <row r="34" spans="1:17" ht="15" customHeight="1" hidden="1" outlineLevel="2">
      <c r="A34" s="51" t="s">
        <v>787</v>
      </c>
      <c r="B34" s="48" t="s">
        <v>488</v>
      </c>
      <c r="C34" s="48" t="s">
        <v>386</v>
      </c>
      <c r="D34" s="48" t="s">
        <v>392</v>
      </c>
      <c r="E34" s="48"/>
      <c r="F34" s="48"/>
      <c r="G34" s="48"/>
      <c r="H34" s="48"/>
      <c r="I34" s="48"/>
      <c r="J34" s="48"/>
      <c r="K34" s="48"/>
      <c r="L34" s="48" t="s">
        <v>639</v>
      </c>
      <c r="M34" s="48" t="s">
        <v>648</v>
      </c>
      <c r="N34" s="49">
        <v>2368.5</v>
      </c>
      <c r="O34" s="49">
        <v>2368.5</v>
      </c>
      <c r="P34" s="49"/>
      <c r="Q34" s="595">
        <f t="shared" si="0"/>
        <v>0</v>
      </c>
    </row>
    <row r="35" spans="1:17" ht="60" customHeight="1" collapsed="1">
      <c r="A35" s="62" t="s">
        <v>788</v>
      </c>
      <c r="B35" s="48" t="s">
        <v>488</v>
      </c>
      <c r="C35" s="72" t="s">
        <v>386</v>
      </c>
      <c r="D35" s="72" t="s">
        <v>392</v>
      </c>
      <c r="E35" s="72" t="s">
        <v>478</v>
      </c>
      <c r="F35" s="72" t="s">
        <v>528</v>
      </c>
      <c r="G35" s="72" t="s">
        <v>789</v>
      </c>
      <c r="H35" s="72" t="s">
        <v>481</v>
      </c>
      <c r="I35" s="72" t="s">
        <v>770</v>
      </c>
      <c r="J35" s="72" t="s">
        <v>528</v>
      </c>
      <c r="K35" s="72" t="s">
        <v>478</v>
      </c>
      <c r="L35" s="72" t="s">
        <v>369</v>
      </c>
      <c r="M35" s="72"/>
      <c r="N35" s="133">
        <v>250.9</v>
      </c>
      <c r="O35" s="371">
        <v>250.9</v>
      </c>
      <c r="P35" s="371">
        <v>250.9</v>
      </c>
      <c r="Q35" s="595">
        <f t="shared" si="0"/>
        <v>1</v>
      </c>
    </row>
    <row r="36" spans="1:17" ht="16.5" hidden="1">
      <c r="A36" s="51" t="s">
        <v>774</v>
      </c>
      <c r="B36" s="48" t="s">
        <v>488</v>
      </c>
      <c r="C36" s="72" t="s">
        <v>386</v>
      </c>
      <c r="D36" s="72" t="s">
        <v>392</v>
      </c>
      <c r="E36" s="72"/>
      <c r="F36" s="72"/>
      <c r="G36" s="72"/>
      <c r="H36" s="72"/>
      <c r="I36" s="72"/>
      <c r="J36" s="72"/>
      <c r="K36" s="72"/>
      <c r="L36" s="72" t="s">
        <v>635</v>
      </c>
      <c r="M36" s="72" t="s">
        <v>636</v>
      </c>
      <c r="N36" s="133">
        <v>170.65</v>
      </c>
      <c r="O36" s="371">
        <v>170.65</v>
      </c>
      <c r="P36" s="371"/>
      <c r="Q36" s="595">
        <f t="shared" si="0"/>
        <v>0</v>
      </c>
    </row>
    <row r="37" spans="1:17" ht="16.5" hidden="1">
      <c r="A37" s="51" t="s">
        <v>775</v>
      </c>
      <c r="B37" s="48" t="s">
        <v>488</v>
      </c>
      <c r="C37" s="72" t="s">
        <v>386</v>
      </c>
      <c r="D37" s="72" t="s">
        <v>392</v>
      </c>
      <c r="E37" s="72"/>
      <c r="F37" s="72"/>
      <c r="G37" s="72"/>
      <c r="H37" s="72"/>
      <c r="I37" s="72"/>
      <c r="J37" s="72"/>
      <c r="K37" s="72"/>
      <c r="L37" s="72" t="s">
        <v>635</v>
      </c>
      <c r="M37" s="72" t="s">
        <v>637</v>
      </c>
      <c r="N37" s="133">
        <v>51.54</v>
      </c>
      <c r="O37" s="371">
        <v>51.54</v>
      </c>
      <c r="P37" s="371"/>
      <c r="Q37" s="595">
        <f t="shared" si="0"/>
        <v>0</v>
      </c>
    </row>
    <row r="38" spans="1:17" ht="16.5" hidden="1" outlineLevel="2">
      <c r="A38" s="51" t="s">
        <v>779</v>
      </c>
      <c r="B38" s="48" t="s">
        <v>488</v>
      </c>
      <c r="C38" s="48" t="s">
        <v>386</v>
      </c>
      <c r="D38" s="48" t="s">
        <v>392</v>
      </c>
      <c r="E38" s="48"/>
      <c r="F38" s="48"/>
      <c r="G38" s="48"/>
      <c r="H38" s="48"/>
      <c r="I38" s="48"/>
      <c r="J38" s="48"/>
      <c r="K38" s="48"/>
      <c r="L38" s="48" t="s">
        <v>639</v>
      </c>
      <c r="M38" s="48" t="s">
        <v>640</v>
      </c>
      <c r="N38" s="49">
        <v>4.8</v>
      </c>
      <c r="O38" s="49">
        <v>4.8</v>
      </c>
      <c r="P38" s="49"/>
      <c r="Q38" s="595">
        <f t="shared" si="0"/>
        <v>0</v>
      </c>
    </row>
    <row r="39" spans="1:17" ht="16.5" hidden="1" outlineLevel="2">
      <c r="A39" s="51" t="s">
        <v>783</v>
      </c>
      <c r="B39" s="48" t="s">
        <v>488</v>
      </c>
      <c r="C39" s="48" t="s">
        <v>386</v>
      </c>
      <c r="D39" s="48" t="s">
        <v>392</v>
      </c>
      <c r="E39" s="48"/>
      <c r="F39" s="48"/>
      <c r="G39" s="48"/>
      <c r="H39" s="48"/>
      <c r="I39" s="48"/>
      <c r="J39" s="48"/>
      <c r="K39" s="48"/>
      <c r="L39" s="48" t="s">
        <v>639</v>
      </c>
      <c r="M39" s="48" t="s">
        <v>644</v>
      </c>
      <c r="N39" s="49">
        <v>0.6</v>
      </c>
      <c r="O39" s="49">
        <v>0.6</v>
      </c>
      <c r="P39" s="49"/>
      <c r="Q39" s="595">
        <f t="shared" si="0"/>
        <v>0</v>
      </c>
    </row>
    <row r="40" spans="1:17" ht="16.5" hidden="1" outlineLevel="2">
      <c r="A40" s="51" t="s">
        <v>787</v>
      </c>
      <c r="B40" s="48" t="s">
        <v>488</v>
      </c>
      <c r="C40" s="48" t="s">
        <v>386</v>
      </c>
      <c r="D40" s="48" t="s">
        <v>392</v>
      </c>
      <c r="E40" s="48"/>
      <c r="F40" s="48"/>
      <c r="G40" s="48"/>
      <c r="H40" s="48"/>
      <c r="I40" s="48"/>
      <c r="J40" s="48"/>
      <c r="K40" s="48"/>
      <c r="L40" s="48" t="s">
        <v>639</v>
      </c>
      <c r="M40" s="48" t="s">
        <v>648</v>
      </c>
      <c r="N40" s="49">
        <v>1.51</v>
      </c>
      <c r="O40" s="49">
        <v>1.51</v>
      </c>
      <c r="P40" s="49"/>
      <c r="Q40" s="595">
        <f t="shared" si="0"/>
        <v>0</v>
      </c>
    </row>
    <row r="41" spans="1:17" ht="75.75" customHeight="1" collapsed="1">
      <c r="A41" s="62" t="s">
        <v>790</v>
      </c>
      <c r="B41" s="48" t="s">
        <v>488</v>
      </c>
      <c r="C41" s="72" t="s">
        <v>386</v>
      </c>
      <c r="D41" s="72" t="s">
        <v>392</v>
      </c>
      <c r="E41" s="72" t="s">
        <v>478</v>
      </c>
      <c r="F41" s="72" t="s">
        <v>528</v>
      </c>
      <c r="G41" s="72" t="s">
        <v>789</v>
      </c>
      <c r="H41" s="72" t="s">
        <v>481</v>
      </c>
      <c r="I41" s="72" t="s">
        <v>770</v>
      </c>
      <c r="J41" s="72" t="s">
        <v>528</v>
      </c>
      <c r="K41" s="72" t="s">
        <v>479</v>
      </c>
      <c r="L41" s="72" t="s">
        <v>369</v>
      </c>
      <c r="M41" s="72"/>
      <c r="N41" s="133">
        <v>440</v>
      </c>
      <c r="O41" s="371">
        <v>136.53</v>
      </c>
      <c r="P41" s="371">
        <v>136.53</v>
      </c>
      <c r="Q41" s="595">
        <f t="shared" si="0"/>
        <v>1</v>
      </c>
    </row>
    <row r="42" spans="1:17" ht="16.5" hidden="1">
      <c r="A42" s="51" t="s">
        <v>774</v>
      </c>
      <c r="B42" s="72" t="s">
        <v>514</v>
      </c>
      <c r="C42" s="72" t="s">
        <v>386</v>
      </c>
      <c r="D42" s="72" t="s">
        <v>392</v>
      </c>
      <c r="E42" s="72"/>
      <c r="F42" s="72"/>
      <c r="G42" s="72"/>
      <c r="H42" s="72"/>
      <c r="I42" s="72"/>
      <c r="J42" s="72"/>
      <c r="K42" s="72"/>
      <c r="L42" s="72" t="s">
        <v>635</v>
      </c>
      <c r="M42" s="72" t="s">
        <v>636</v>
      </c>
      <c r="N42" s="133">
        <v>306.3</v>
      </c>
      <c r="O42" s="371">
        <v>306.3</v>
      </c>
      <c r="P42" s="371"/>
      <c r="Q42" s="595">
        <f t="shared" si="0"/>
        <v>0</v>
      </c>
    </row>
    <row r="43" spans="1:17" ht="16.5" hidden="1">
      <c r="A43" s="51" t="s">
        <v>775</v>
      </c>
      <c r="B43" s="72" t="s">
        <v>514</v>
      </c>
      <c r="C43" s="72" t="s">
        <v>386</v>
      </c>
      <c r="D43" s="72" t="s">
        <v>392</v>
      </c>
      <c r="E43" s="72"/>
      <c r="F43" s="72"/>
      <c r="G43" s="72"/>
      <c r="H43" s="72"/>
      <c r="I43" s="72"/>
      <c r="J43" s="72"/>
      <c r="K43" s="72"/>
      <c r="L43" s="72" t="s">
        <v>635</v>
      </c>
      <c r="M43" s="72" t="s">
        <v>637</v>
      </c>
      <c r="N43" s="133">
        <v>92.6</v>
      </c>
      <c r="O43" s="371">
        <v>92.6</v>
      </c>
      <c r="P43" s="371"/>
      <c r="Q43" s="595">
        <f t="shared" si="0"/>
        <v>0</v>
      </c>
    </row>
    <row r="44" spans="1:17" ht="16.5" hidden="1" outlineLevel="2">
      <c r="A44" s="51" t="s">
        <v>779</v>
      </c>
      <c r="B44" s="48" t="s">
        <v>514</v>
      </c>
      <c r="C44" s="48" t="s">
        <v>386</v>
      </c>
      <c r="D44" s="48" t="s">
        <v>392</v>
      </c>
      <c r="E44" s="48"/>
      <c r="F44" s="48"/>
      <c r="G44" s="48"/>
      <c r="H44" s="48"/>
      <c r="I44" s="48"/>
      <c r="J44" s="48"/>
      <c r="K44" s="48"/>
      <c r="L44" s="48" t="s">
        <v>639</v>
      </c>
      <c r="M44" s="48" t="s">
        <v>640</v>
      </c>
      <c r="N44" s="49">
        <v>2</v>
      </c>
      <c r="O44" s="49">
        <v>2</v>
      </c>
      <c r="P44" s="49"/>
      <c r="Q44" s="595">
        <f t="shared" si="0"/>
        <v>0</v>
      </c>
    </row>
    <row r="45" spans="1:17" ht="16.5" hidden="1" outlineLevel="2">
      <c r="A45" s="51" t="s">
        <v>783</v>
      </c>
      <c r="B45" s="48" t="s">
        <v>514</v>
      </c>
      <c r="C45" s="48" t="s">
        <v>386</v>
      </c>
      <c r="D45" s="48" t="s">
        <v>392</v>
      </c>
      <c r="E45" s="48"/>
      <c r="F45" s="48"/>
      <c r="G45" s="48"/>
      <c r="H45" s="48"/>
      <c r="I45" s="48"/>
      <c r="J45" s="48"/>
      <c r="K45" s="48"/>
      <c r="L45" s="48" t="s">
        <v>639</v>
      </c>
      <c r="M45" s="48" t="s">
        <v>644</v>
      </c>
      <c r="N45" s="49">
        <v>2</v>
      </c>
      <c r="O45" s="49">
        <v>2</v>
      </c>
      <c r="P45" s="49"/>
      <c r="Q45" s="595">
        <f t="shared" si="0"/>
        <v>0</v>
      </c>
    </row>
    <row r="46" spans="1:17" ht="16.5" hidden="1" outlineLevel="2">
      <c r="A46" s="51" t="s">
        <v>785</v>
      </c>
      <c r="B46" s="48" t="s">
        <v>514</v>
      </c>
      <c r="C46" s="48" t="s">
        <v>386</v>
      </c>
      <c r="D46" s="48" t="s">
        <v>392</v>
      </c>
      <c r="E46" s="48"/>
      <c r="F46" s="48"/>
      <c r="G46" s="48"/>
      <c r="H46" s="48"/>
      <c r="I46" s="48"/>
      <c r="J46" s="48"/>
      <c r="K46" s="48"/>
      <c r="L46" s="48" t="s">
        <v>639</v>
      </c>
      <c r="M46" s="48" t="s">
        <v>646</v>
      </c>
      <c r="N46" s="49">
        <v>0</v>
      </c>
      <c r="O46" s="49">
        <v>0</v>
      </c>
      <c r="P46" s="49"/>
      <c r="Q46" s="595" t="e">
        <f t="shared" si="0"/>
        <v>#DIV/0!</v>
      </c>
    </row>
    <row r="47" spans="1:17" ht="16.5" hidden="1" outlineLevel="2">
      <c r="A47" s="51" t="s">
        <v>786</v>
      </c>
      <c r="B47" s="48" t="s">
        <v>514</v>
      </c>
      <c r="C47" s="48" t="s">
        <v>386</v>
      </c>
      <c r="D47" s="48" t="s">
        <v>392</v>
      </c>
      <c r="E47" s="48"/>
      <c r="F47" s="48"/>
      <c r="G47" s="48"/>
      <c r="H47" s="48"/>
      <c r="I47" s="48"/>
      <c r="J47" s="48"/>
      <c r="K47" s="48"/>
      <c r="L47" s="48" t="s">
        <v>639</v>
      </c>
      <c r="M47" s="48" t="s">
        <v>647</v>
      </c>
      <c r="N47" s="49">
        <v>6.1</v>
      </c>
      <c r="O47" s="49">
        <v>6.1</v>
      </c>
      <c r="P47" s="49"/>
      <c r="Q47" s="595">
        <f t="shared" si="0"/>
        <v>0</v>
      </c>
    </row>
    <row r="48" spans="1:17" ht="81" customHeight="1" outlineLevel="2">
      <c r="A48" s="51" t="s">
        <v>954</v>
      </c>
      <c r="B48" s="48" t="s">
        <v>488</v>
      </c>
      <c r="C48" s="48" t="s">
        <v>386</v>
      </c>
      <c r="D48" s="48" t="s">
        <v>392</v>
      </c>
      <c r="E48" s="48" t="s">
        <v>770</v>
      </c>
      <c r="F48" s="48" t="s">
        <v>478</v>
      </c>
      <c r="G48" s="48" t="s">
        <v>789</v>
      </c>
      <c r="H48" s="48" t="s">
        <v>481</v>
      </c>
      <c r="I48" s="48" t="s">
        <v>770</v>
      </c>
      <c r="J48" s="48" t="s">
        <v>480</v>
      </c>
      <c r="K48" s="48" t="s">
        <v>478</v>
      </c>
      <c r="L48" s="48" t="s">
        <v>369</v>
      </c>
      <c r="M48" s="48"/>
      <c r="N48" s="49">
        <v>0</v>
      </c>
      <c r="O48" s="49">
        <v>298.37</v>
      </c>
      <c r="P48" s="49">
        <v>298.37</v>
      </c>
      <c r="Q48" s="595">
        <f t="shared" si="0"/>
        <v>1</v>
      </c>
    </row>
    <row r="49" spans="1:17" ht="31.5" hidden="1" outlineLevel="2">
      <c r="A49" s="357" t="s">
        <v>791</v>
      </c>
      <c r="B49" s="358" t="s">
        <v>488</v>
      </c>
      <c r="C49" s="358" t="s">
        <v>386</v>
      </c>
      <c r="D49" s="358" t="s">
        <v>388</v>
      </c>
      <c r="E49" s="48" t="s">
        <v>528</v>
      </c>
      <c r="F49" s="48" t="s">
        <v>479</v>
      </c>
      <c r="G49" s="48" t="s">
        <v>528</v>
      </c>
      <c r="H49" s="48" t="s">
        <v>528</v>
      </c>
      <c r="I49" s="48" t="s">
        <v>479</v>
      </c>
      <c r="J49" s="48" t="s">
        <v>770</v>
      </c>
      <c r="K49" s="48" t="s">
        <v>528</v>
      </c>
      <c r="L49" s="48" t="s">
        <v>369</v>
      </c>
      <c r="M49" s="48"/>
      <c r="N49" s="49">
        <f>N50</f>
        <v>1500</v>
      </c>
      <c r="O49" s="49">
        <f>O50</f>
        <v>0</v>
      </c>
      <c r="P49" s="49">
        <v>0</v>
      </c>
      <c r="Q49" s="595" t="e">
        <f t="shared" si="0"/>
        <v>#DIV/0!</v>
      </c>
    </row>
    <row r="50" spans="1:17" ht="30" hidden="1" outlineLevel="2">
      <c r="A50" s="51" t="s">
        <v>777</v>
      </c>
      <c r="B50" s="72" t="s">
        <v>488</v>
      </c>
      <c r="C50" s="72" t="s">
        <v>386</v>
      </c>
      <c r="D50" s="72" t="s">
        <v>388</v>
      </c>
      <c r="E50" s="48" t="s">
        <v>528</v>
      </c>
      <c r="F50" s="48" t="s">
        <v>479</v>
      </c>
      <c r="G50" s="48" t="s">
        <v>528</v>
      </c>
      <c r="H50" s="48" t="s">
        <v>528</v>
      </c>
      <c r="I50" s="48" t="s">
        <v>479</v>
      </c>
      <c r="J50" s="48" t="s">
        <v>770</v>
      </c>
      <c r="K50" s="48" t="s">
        <v>528</v>
      </c>
      <c r="L50" s="48" t="s">
        <v>778</v>
      </c>
      <c r="M50" s="48"/>
      <c r="N50" s="49">
        <v>1500</v>
      </c>
      <c r="O50" s="49">
        <v>0</v>
      </c>
      <c r="P50" s="49">
        <v>0</v>
      </c>
      <c r="Q50" s="595" t="e">
        <f t="shared" si="0"/>
        <v>#DIV/0!</v>
      </c>
    </row>
    <row r="51" spans="1:17" ht="72" customHeight="1" outlineLevel="2">
      <c r="A51" s="357" t="s">
        <v>792</v>
      </c>
      <c r="B51" s="358" t="s">
        <v>488</v>
      </c>
      <c r="C51" s="358" t="s">
        <v>386</v>
      </c>
      <c r="D51" s="358" t="s">
        <v>392</v>
      </c>
      <c r="E51" s="48" t="s">
        <v>528</v>
      </c>
      <c r="F51" s="48" t="s">
        <v>480</v>
      </c>
      <c r="G51" s="48" t="s">
        <v>528</v>
      </c>
      <c r="H51" s="48" t="s">
        <v>528</v>
      </c>
      <c r="I51" s="48" t="s">
        <v>480</v>
      </c>
      <c r="J51" s="48" t="s">
        <v>770</v>
      </c>
      <c r="K51" s="48" t="s">
        <v>528</v>
      </c>
      <c r="L51" s="48" t="s">
        <v>369</v>
      </c>
      <c r="M51" s="48"/>
      <c r="N51" s="49">
        <f>N52</f>
        <v>1000</v>
      </c>
      <c r="O51" s="49">
        <f>O52</f>
        <v>789.6</v>
      </c>
      <c r="P51" s="49">
        <f>P52</f>
        <v>789.6</v>
      </c>
      <c r="Q51" s="595">
        <f t="shared" si="0"/>
        <v>1</v>
      </c>
    </row>
    <row r="52" spans="1:17" ht="30" outlineLevel="2">
      <c r="A52" s="51" t="s">
        <v>777</v>
      </c>
      <c r="B52" s="72" t="s">
        <v>488</v>
      </c>
      <c r="C52" s="72" t="s">
        <v>386</v>
      </c>
      <c r="D52" s="72" t="s">
        <v>392</v>
      </c>
      <c r="E52" s="48" t="s">
        <v>528</v>
      </c>
      <c r="F52" s="48" t="s">
        <v>480</v>
      </c>
      <c r="G52" s="48" t="s">
        <v>528</v>
      </c>
      <c r="H52" s="48" t="s">
        <v>528</v>
      </c>
      <c r="I52" s="48" t="s">
        <v>480</v>
      </c>
      <c r="J52" s="48" t="s">
        <v>770</v>
      </c>
      <c r="K52" s="48" t="s">
        <v>528</v>
      </c>
      <c r="L52" s="48" t="s">
        <v>778</v>
      </c>
      <c r="M52" s="48"/>
      <c r="N52" s="49">
        <v>1000</v>
      </c>
      <c r="O52" s="49">
        <v>789.6</v>
      </c>
      <c r="P52" s="49">
        <v>789.6</v>
      </c>
      <c r="Q52" s="595">
        <f t="shared" si="0"/>
        <v>1</v>
      </c>
    </row>
    <row r="53" spans="1:17" ht="53.25" customHeight="1" outlineLevel="2">
      <c r="A53" s="357" t="s">
        <v>793</v>
      </c>
      <c r="B53" s="358" t="s">
        <v>488</v>
      </c>
      <c r="C53" s="358" t="s">
        <v>391</v>
      </c>
      <c r="D53" s="358" t="s">
        <v>385</v>
      </c>
      <c r="E53" s="353" t="s">
        <v>770</v>
      </c>
      <c r="F53" s="353" t="s">
        <v>546</v>
      </c>
      <c r="G53" s="353" t="s">
        <v>770</v>
      </c>
      <c r="H53" s="353" t="s">
        <v>770</v>
      </c>
      <c r="I53" s="353" t="s">
        <v>546</v>
      </c>
      <c r="J53" s="353" t="s">
        <v>770</v>
      </c>
      <c r="K53" s="353" t="s">
        <v>770</v>
      </c>
      <c r="L53" s="353" t="s">
        <v>778</v>
      </c>
      <c r="M53" s="353"/>
      <c r="N53" s="359">
        <f>N54+N56+N58+N60+N62</f>
        <v>600</v>
      </c>
      <c r="O53" s="359">
        <f>O54+O56+O58+O60+O62</f>
        <v>47.77</v>
      </c>
      <c r="P53" s="359">
        <f>P54+P56+P58+P60+P62</f>
        <v>47.77</v>
      </c>
      <c r="Q53" s="595">
        <f t="shared" si="0"/>
        <v>1</v>
      </c>
    </row>
    <row r="54" spans="1:17" ht="70.5" customHeight="1" outlineLevel="2">
      <c r="A54" s="360" t="s">
        <v>578</v>
      </c>
      <c r="B54" s="48" t="s">
        <v>488</v>
      </c>
      <c r="C54" s="73" t="s">
        <v>391</v>
      </c>
      <c r="D54" s="73" t="s">
        <v>385</v>
      </c>
      <c r="E54" s="48" t="s">
        <v>770</v>
      </c>
      <c r="F54" s="48" t="s">
        <v>546</v>
      </c>
      <c r="G54" s="48" t="s">
        <v>528</v>
      </c>
      <c r="H54" s="48" t="s">
        <v>770</v>
      </c>
      <c r="I54" s="48" t="s">
        <v>546</v>
      </c>
      <c r="J54" s="48" t="s">
        <v>770</v>
      </c>
      <c r="K54" s="48" t="s">
        <v>528</v>
      </c>
      <c r="L54" s="48" t="s">
        <v>369</v>
      </c>
      <c r="M54" s="48"/>
      <c r="N54" s="49">
        <f>N55</f>
        <v>400</v>
      </c>
      <c r="O54" s="49">
        <f>O55</f>
        <v>47.77</v>
      </c>
      <c r="P54" s="49">
        <f>P55</f>
        <v>47.77</v>
      </c>
      <c r="Q54" s="595">
        <f t="shared" si="0"/>
        <v>1</v>
      </c>
    </row>
    <row r="55" spans="1:17" ht="51" customHeight="1" outlineLevel="2">
      <c r="A55" s="51" t="s">
        <v>777</v>
      </c>
      <c r="B55" s="72" t="s">
        <v>488</v>
      </c>
      <c r="C55" s="73" t="s">
        <v>391</v>
      </c>
      <c r="D55" s="73" t="s">
        <v>385</v>
      </c>
      <c r="E55" s="48" t="s">
        <v>770</v>
      </c>
      <c r="F55" s="48" t="s">
        <v>546</v>
      </c>
      <c r="G55" s="48" t="s">
        <v>528</v>
      </c>
      <c r="H55" s="48" t="s">
        <v>770</v>
      </c>
      <c r="I55" s="48" t="s">
        <v>546</v>
      </c>
      <c r="J55" s="48" t="s">
        <v>770</v>
      </c>
      <c r="K55" s="48" t="s">
        <v>528</v>
      </c>
      <c r="L55" s="48" t="s">
        <v>778</v>
      </c>
      <c r="M55" s="48"/>
      <c r="N55" s="49">
        <f>500-100</f>
        <v>400</v>
      </c>
      <c r="O55" s="49">
        <v>47.77</v>
      </c>
      <c r="P55" s="49">
        <v>47.77</v>
      </c>
      <c r="Q55" s="595">
        <f t="shared" si="0"/>
        <v>1</v>
      </c>
    </row>
    <row r="56" spans="1:17" ht="66.75" customHeight="1" outlineLevel="2">
      <c r="A56" s="413" t="s">
        <v>794</v>
      </c>
      <c r="B56" s="48" t="s">
        <v>488</v>
      </c>
      <c r="C56" s="73" t="s">
        <v>386</v>
      </c>
      <c r="D56" s="73" t="s">
        <v>392</v>
      </c>
      <c r="E56" s="48" t="s">
        <v>770</v>
      </c>
      <c r="F56" s="48" t="s">
        <v>546</v>
      </c>
      <c r="G56" s="48" t="s">
        <v>478</v>
      </c>
      <c r="H56" s="48" t="s">
        <v>770</v>
      </c>
      <c r="I56" s="48" t="s">
        <v>546</v>
      </c>
      <c r="J56" s="48" t="s">
        <v>770</v>
      </c>
      <c r="K56" s="48" t="s">
        <v>478</v>
      </c>
      <c r="L56" s="48" t="s">
        <v>369</v>
      </c>
      <c r="M56" s="48"/>
      <c r="N56" s="49">
        <f>N57</f>
        <v>90</v>
      </c>
      <c r="O56" s="49">
        <f>O57</f>
        <v>0</v>
      </c>
      <c r="P56" s="49">
        <v>0</v>
      </c>
      <c r="Q56" s="595" t="e">
        <f t="shared" si="0"/>
        <v>#DIV/0!</v>
      </c>
    </row>
    <row r="57" spans="1:17" ht="66.75" customHeight="1" outlineLevel="2">
      <c r="A57" s="51" t="s">
        <v>777</v>
      </c>
      <c r="B57" s="72" t="s">
        <v>488</v>
      </c>
      <c r="C57" s="73" t="s">
        <v>386</v>
      </c>
      <c r="D57" s="73" t="s">
        <v>392</v>
      </c>
      <c r="E57" s="48" t="s">
        <v>770</v>
      </c>
      <c r="F57" s="48" t="s">
        <v>546</v>
      </c>
      <c r="G57" s="48" t="s">
        <v>478</v>
      </c>
      <c r="H57" s="48" t="s">
        <v>770</v>
      </c>
      <c r="I57" s="48" t="s">
        <v>546</v>
      </c>
      <c r="J57" s="48" t="s">
        <v>770</v>
      </c>
      <c r="K57" s="48" t="s">
        <v>478</v>
      </c>
      <c r="L57" s="48" t="s">
        <v>778</v>
      </c>
      <c r="M57" s="48"/>
      <c r="N57" s="49">
        <v>90</v>
      </c>
      <c r="O57" s="49">
        <v>0</v>
      </c>
      <c r="P57" s="49">
        <v>0</v>
      </c>
      <c r="Q57" s="595" t="e">
        <f t="shared" si="0"/>
        <v>#DIV/0!</v>
      </c>
    </row>
    <row r="58" spans="1:17" ht="68.25" customHeight="1" outlineLevel="2">
      <c r="A58" s="413" t="s">
        <v>580</v>
      </c>
      <c r="B58" s="48" t="s">
        <v>488</v>
      </c>
      <c r="C58" s="73" t="s">
        <v>386</v>
      </c>
      <c r="D58" s="73" t="s">
        <v>392</v>
      </c>
      <c r="E58" s="48" t="s">
        <v>770</v>
      </c>
      <c r="F58" s="48" t="s">
        <v>546</v>
      </c>
      <c r="G58" s="48" t="s">
        <v>479</v>
      </c>
      <c r="H58" s="48" t="s">
        <v>770</v>
      </c>
      <c r="I58" s="48" t="s">
        <v>546</v>
      </c>
      <c r="J58" s="48" t="s">
        <v>770</v>
      </c>
      <c r="K58" s="48" t="s">
        <v>479</v>
      </c>
      <c r="L58" s="48" t="s">
        <v>369</v>
      </c>
      <c r="M58" s="48"/>
      <c r="N58" s="49">
        <f>N59</f>
        <v>40</v>
      </c>
      <c r="O58" s="49">
        <f>O59</f>
        <v>0</v>
      </c>
      <c r="P58" s="49">
        <v>0</v>
      </c>
      <c r="Q58" s="595" t="e">
        <f t="shared" si="0"/>
        <v>#DIV/0!</v>
      </c>
    </row>
    <row r="59" spans="1:17" ht="68.25" customHeight="1" outlineLevel="2">
      <c r="A59" s="51" t="s">
        <v>777</v>
      </c>
      <c r="B59" s="72" t="s">
        <v>488</v>
      </c>
      <c r="C59" s="73" t="s">
        <v>386</v>
      </c>
      <c r="D59" s="73" t="s">
        <v>392</v>
      </c>
      <c r="E59" s="48" t="s">
        <v>770</v>
      </c>
      <c r="F59" s="48" t="s">
        <v>546</v>
      </c>
      <c r="G59" s="48" t="s">
        <v>479</v>
      </c>
      <c r="H59" s="48" t="s">
        <v>770</v>
      </c>
      <c r="I59" s="48" t="s">
        <v>546</v>
      </c>
      <c r="J59" s="48" t="s">
        <v>770</v>
      </c>
      <c r="K59" s="48" t="s">
        <v>479</v>
      </c>
      <c r="L59" s="48" t="s">
        <v>778</v>
      </c>
      <c r="M59" s="48"/>
      <c r="N59" s="49">
        <v>40</v>
      </c>
      <c r="O59" s="49">
        <v>0</v>
      </c>
      <c r="P59" s="49">
        <v>0</v>
      </c>
      <c r="Q59" s="595" t="e">
        <f t="shared" si="0"/>
        <v>#DIV/0!</v>
      </c>
    </row>
    <row r="60" spans="1:17" ht="48.75" customHeight="1" outlineLevel="2">
      <c r="A60" s="413" t="s">
        <v>795</v>
      </c>
      <c r="B60" s="48" t="s">
        <v>488</v>
      </c>
      <c r="C60" s="73" t="s">
        <v>386</v>
      </c>
      <c r="D60" s="73" t="s">
        <v>392</v>
      </c>
      <c r="E60" s="48" t="s">
        <v>770</v>
      </c>
      <c r="F60" s="48" t="s">
        <v>546</v>
      </c>
      <c r="G60" s="48" t="s">
        <v>480</v>
      </c>
      <c r="H60" s="48" t="s">
        <v>770</v>
      </c>
      <c r="I60" s="48" t="s">
        <v>546</v>
      </c>
      <c r="J60" s="48" t="s">
        <v>770</v>
      </c>
      <c r="K60" s="48" t="s">
        <v>480</v>
      </c>
      <c r="L60" s="48" t="s">
        <v>369</v>
      </c>
      <c r="M60" s="48"/>
      <c r="N60" s="49">
        <f>N61</f>
        <v>40</v>
      </c>
      <c r="O60" s="49">
        <f>O61</f>
        <v>0</v>
      </c>
      <c r="P60" s="49">
        <v>0</v>
      </c>
      <c r="Q60" s="595" t="e">
        <f t="shared" si="0"/>
        <v>#DIV/0!</v>
      </c>
    </row>
    <row r="61" spans="1:17" ht="48.75" customHeight="1" outlineLevel="2">
      <c r="A61" s="51" t="s">
        <v>777</v>
      </c>
      <c r="B61" s="72" t="s">
        <v>488</v>
      </c>
      <c r="C61" s="73" t="s">
        <v>386</v>
      </c>
      <c r="D61" s="73" t="s">
        <v>392</v>
      </c>
      <c r="E61" s="48" t="s">
        <v>770</v>
      </c>
      <c r="F61" s="48" t="s">
        <v>546</v>
      </c>
      <c r="G61" s="48" t="s">
        <v>480</v>
      </c>
      <c r="H61" s="48" t="s">
        <v>770</v>
      </c>
      <c r="I61" s="48" t="s">
        <v>546</v>
      </c>
      <c r="J61" s="48" t="s">
        <v>770</v>
      </c>
      <c r="K61" s="48" t="s">
        <v>480</v>
      </c>
      <c r="L61" s="48" t="s">
        <v>778</v>
      </c>
      <c r="M61" s="48"/>
      <c r="N61" s="49">
        <v>40</v>
      </c>
      <c r="O61" s="49">
        <v>0</v>
      </c>
      <c r="P61" s="49">
        <v>0</v>
      </c>
      <c r="Q61" s="595" t="e">
        <f t="shared" si="0"/>
        <v>#DIV/0!</v>
      </c>
    </row>
    <row r="62" spans="1:17" ht="48.75" customHeight="1" outlineLevel="2">
      <c r="A62" s="413" t="s">
        <v>582</v>
      </c>
      <c r="B62" s="48" t="s">
        <v>488</v>
      </c>
      <c r="C62" s="73" t="s">
        <v>386</v>
      </c>
      <c r="D62" s="73" t="s">
        <v>392</v>
      </c>
      <c r="E62" s="48" t="s">
        <v>770</v>
      </c>
      <c r="F62" s="48" t="s">
        <v>546</v>
      </c>
      <c r="G62" s="48" t="s">
        <v>470</v>
      </c>
      <c r="H62" s="48" t="s">
        <v>770</v>
      </c>
      <c r="I62" s="48" t="s">
        <v>546</v>
      </c>
      <c r="J62" s="48" t="s">
        <v>770</v>
      </c>
      <c r="K62" s="48" t="s">
        <v>470</v>
      </c>
      <c r="L62" s="48" t="s">
        <v>369</v>
      </c>
      <c r="M62" s="48"/>
      <c r="N62" s="49">
        <f>N63</f>
        <v>30</v>
      </c>
      <c r="O62" s="49">
        <f>O63</f>
        <v>0</v>
      </c>
      <c r="P62" s="49">
        <v>0</v>
      </c>
      <c r="Q62" s="595" t="e">
        <f t="shared" si="0"/>
        <v>#DIV/0!</v>
      </c>
    </row>
    <row r="63" spans="1:17" ht="48.75" customHeight="1" outlineLevel="2">
      <c r="A63" s="51" t="s">
        <v>777</v>
      </c>
      <c r="B63" s="72" t="s">
        <v>488</v>
      </c>
      <c r="C63" s="73" t="s">
        <v>386</v>
      </c>
      <c r="D63" s="73" t="s">
        <v>392</v>
      </c>
      <c r="E63" s="48" t="s">
        <v>770</v>
      </c>
      <c r="F63" s="48" t="s">
        <v>546</v>
      </c>
      <c r="G63" s="48" t="s">
        <v>470</v>
      </c>
      <c r="H63" s="48" t="s">
        <v>770</v>
      </c>
      <c r="I63" s="48" t="s">
        <v>546</v>
      </c>
      <c r="J63" s="48" t="s">
        <v>770</v>
      </c>
      <c r="K63" s="48" t="s">
        <v>470</v>
      </c>
      <c r="L63" s="48" t="s">
        <v>778</v>
      </c>
      <c r="M63" s="48"/>
      <c r="N63" s="49">
        <v>30</v>
      </c>
      <c r="O63" s="49">
        <v>0</v>
      </c>
      <c r="P63" s="49">
        <v>0</v>
      </c>
      <c r="Q63" s="595" t="e">
        <f t="shared" si="0"/>
        <v>#DIV/0!</v>
      </c>
    </row>
    <row r="64" spans="1:17" s="27" customFormat="1" ht="66" customHeight="1" outlineLevel="2">
      <c r="A64" s="252" t="s">
        <v>796</v>
      </c>
      <c r="B64" s="358" t="s">
        <v>488</v>
      </c>
      <c r="C64" s="406" t="s">
        <v>387</v>
      </c>
      <c r="D64" s="406" t="s">
        <v>390</v>
      </c>
      <c r="E64" s="362" t="s">
        <v>548</v>
      </c>
      <c r="F64" s="362" t="s">
        <v>770</v>
      </c>
      <c r="G64" s="362" t="s">
        <v>481</v>
      </c>
      <c r="H64" s="362" t="s">
        <v>481</v>
      </c>
      <c r="I64" s="362" t="s">
        <v>770</v>
      </c>
      <c r="J64" s="362" t="s">
        <v>770</v>
      </c>
      <c r="K64" s="362" t="s">
        <v>479</v>
      </c>
      <c r="L64" s="362" t="s">
        <v>369</v>
      </c>
      <c r="M64" s="362"/>
      <c r="N64" s="363">
        <f>N65</f>
        <v>360.6</v>
      </c>
      <c r="O64" s="363">
        <f>O67</f>
        <v>148.03</v>
      </c>
      <c r="P64" s="363">
        <v>148.03</v>
      </c>
      <c r="Q64" s="595">
        <f t="shared" si="0"/>
        <v>1</v>
      </c>
    </row>
    <row r="65" spans="1:17" s="28" customFormat="1" ht="16.5" hidden="1">
      <c r="A65" s="125" t="s">
        <v>784</v>
      </c>
      <c r="B65" s="358" t="s">
        <v>488</v>
      </c>
      <c r="C65" s="407" t="s">
        <v>387</v>
      </c>
      <c r="D65" s="407" t="s">
        <v>390</v>
      </c>
      <c r="E65" s="407"/>
      <c r="F65" s="407"/>
      <c r="G65" s="407"/>
      <c r="H65" s="407"/>
      <c r="I65" s="407"/>
      <c r="J65" s="407"/>
      <c r="K65" s="407"/>
      <c r="L65" s="407" t="s">
        <v>639</v>
      </c>
      <c r="M65" s="364" t="s">
        <v>645</v>
      </c>
      <c r="N65" s="365">
        <v>360.6</v>
      </c>
      <c r="O65" s="572">
        <v>360.6</v>
      </c>
      <c r="P65" s="572"/>
      <c r="Q65" s="595">
        <f t="shared" si="0"/>
        <v>0</v>
      </c>
    </row>
    <row r="66" spans="1:17" s="28" customFormat="1" ht="28.5" customHeight="1" hidden="1">
      <c r="A66" s="125"/>
      <c r="B66" s="358" t="s">
        <v>488</v>
      </c>
      <c r="C66" s="407"/>
      <c r="D66" s="407"/>
      <c r="E66" s="407"/>
      <c r="F66" s="407"/>
      <c r="G66" s="407"/>
      <c r="H66" s="407"/>
      <c r="I66" s="407"/>
      <c r="J66" s="407"/>
      <c r="K66" s="407"/>
      <c r="L66" s="407"/>
      <c r="M66" s="364"/>
      <c r="N66" s="365"/>
      <c r="O66" s="572"/>
      <c r="P66" s="572"/>
      <c r="Q66" s="595" t="e">
        <f t="shared" si="0"/>
        <v>#DIV/0!</v>
      </c>
    </row>
    <row r="67" spans="1:17" s="28" customFormat="1" ht="28.5" customHeight="1">
      <c r="A67" s="51" t="s">
        <v>777</v>
      </c>
      <c r="B67" s="72" t="s">
        <v>488</v>
      </c>
      <c r="C67" s="406" t="s">
        <v>387</v>
      </c>
      <c r="D67" s="406" t="s">
        <v>390</v>
      </c>
      <c r="E67" s="362" t="s">
        <v>548</v>
      </c>
      <c r="F67" s="362" t="s">
        <v>770</v>
      </c>
      <c r="G67" s="362" t="s">
        <v>481</v>
      </c>
      <c r="H67" s="362" t="s">
        <v>481</v>
      </c>
      <c r="I67" s="362" t="s">
        <v>770</v>
      </c>
      <c r="J67" s="362" t="s">
        <v>770</v>
      </c>
      <c r="K67" s="362" t="s">
        <v>479</v>
      </c>
      <c r="L67" s="407" t="s">
        <v>778</v>
      </c>
      <c r="M67" s="364"/>
      <c r="N67" s="363">
        <v>360.6</v>
      </c>
      <c r="O67" s="363">
        <v>148.03</v>
      </c>
      <c r="P67" s="363">
        <v>148.03</v>
      </c>
      <c r="Q67" s="595">
        <f t="shared" si="0"/>
        <v>1</v>
      </c>
    </row>
    <row r="68" spans="1:17" s="28" customFormat="1" ht="81" customHeight="1">
      <c r="A68" s="51" t="s">
        <v>961</v>
      </c>
      <c r="B68" s="72" t="s">
        <v>488</v>
      </c>
      <c r="C68" s="406" t="s">
        <v>387</v>
      </c>
      <c r="D68" s="406" t="s">
        <v>250</v>
      </c>
      <c r="E68" s="362" t="s">
        <v>528</v>
      </c>
      <c r="F68" s="362" t="s">
        <v>478</v>
      </c>
      <c r="G68" s="362" t="s">
        <v>470</v>
      </c>
      <c r="H68" s="362" t="s">
        <v>481</v>
      </c>
      <c r="I68" s="362" t="s">
        <v>770</v>
      </c>
      <c r="J68" s="362" t="s">
        <v>478</v>
      </c>
      <c r="K68" s="362" t="s">
        <v>479</v>
      </c>
      <c r="L68" s="407" t="s">
        <v>778</v>
      </c>
      <c r="M68" s="364"/>
      <c r="N68" s="363">
        <v>0</v>
      </c>
      <c r="O68" s="363">
        <f>27808.5-4540.3</f>
        <v>23268.2</v>
      </c>
      <c r="P68" s="363">
        <v>3678.5</v>
      </c>
      <c r="Q68" s="595">
        <f t="shared" si="0"/>
        <v>0.15809130057331464</v>
      </c>
    </row>
    <row r="69" spans="1:17" s="28" customFormat="1" ht="81" customHeight="1">
      <c r="A69" s="51" t="s">
        <v>961</v>
      </c>
      <c r="B69" s="72" t="s">
        <v>488</v>
      </c>
      <c r="C69" s="406" t="s">
        <v>387</v>
      </c>
      <c r="D69" s="406" t="s">
        <v>250</v>
      </c>
      <c r="E69" s="362" t="s">
        <v>528</v>
      </c>
      <c r="F69" s="362" t="s">
        <v>478</v>
      </c>
      <c r="G69" s="362" t="s">
        <v>470</v>
      </c>
      <c r="H69" s="362" t="s">
        <v>470</v>
      </c>
      <c r="I69" s="362" t="s">
        <v>770</v>
      </c>
      <c r="J69" s="362" t="s">
        <v>528</v>
      </c>
      <c r="K69" s="362" t="s">
        <v>481</v>
      </c>
      <c r="L69" s="407" t="s">
        <v>778</v>
      </c>
      <c r="M69" s="364"/>
      <c r="N69" s="363"/>
      <c r="O69" s="363">
        <v>83367.3</v>
      </c>
      <c r="P69" s="363">
        <v>35003.05</v>
      </c>
      <c r="Q69" s="595">
        <f t="shared" si="0"/>
        <v>0.4198654628373475</v>
      </c>
    </row>
    <row r="70" spans="1:17" s="28" customFormat="1" ht="81" customHeight="1">
      <c r="A70" s="51" t="s">
        <v>964</v>
      </c>
      <c r="B70" s="72" t="s">
        <v>488</v>
      </c>
      <c r="C70" s="406" t="s">
        <v>387</v>
      </c>
      <c r="D70" s="406" t="s">
        <v>385</v>
      </c>
      <c r="E70" s="362" t="s">
        <v>770</v>
      </c>
      <c r="F70" s="362" t="s">
        <v>548</v>
      </c>
      <c r="G70" s="362" t="s">
        <v>479</v>
      </c>
      <c r="H70" s="362" t="s">
        <v>770</v>
      </c>
      <c r="I70" s="362" t="s">
        <v>548</v>
      </c>
      <c r="J70" s="362" t="s">
        <v>770</v>
      </c>
      <c r="K70" s="362" t="s">
        <v>479</v>
      </c>
      <c r="L70" s="407" t="s">
        <v>778</v>
      </c>
      <c r="M70" s="364"/>
      <c r="N70" s="363"/>
      <c r="O70" s="363">
        <v>99</v>
      </c>
      <c r="P70" s="363">
        <v>99</v>
      </c>
      <c r="Q70" s="595">
        <f t="shared" si="0"/>
        <v>1</v>
      </c>
    </row>
    <row r="71" spans="1:17" s="28" customFormat="1" ht="36" customHeight="1">
      <c r="A71" s="360" t="s">
        <v>545</v>
      </c>
      <c r="B71" s="72" t="s">
        <v>488</v>
      </c>
      <c r="C71" s="406" t="s">
        <v>387</v>
      </c>
      <c r="D71" s="406" t="s">
        <v>252</v>
      </c>
      <c r="E71" s="362" t="s">
        <v>770</v>
      </c>
      <c r="F71" s="362" t="s">
        <v>548</v>
      </c>
      <c r="G71" s="362" t="s">
        <v>480</v>
      </c>
      <c r="H71" s="362" t="s">
        <v>770</v>
      </c>
      <c r="I71" s="362" t="s">
        <v>548</v>
      </c>
      <c r="J71" s="362" t="s">
        <v>770</v>
      </c>
      <c r="K71" s="362" t="s">
        <v>480</v>
      </c>
      <c r="L71" s="407" t="s">
        <v>778</v>
      </c>
      <c r="M71" s="364"/>
      <c r="N71" s="363"/>
      <c r="O71" s="363">
        <v>58.28</v>
      </c>
      <c r="P71" s="363">
        <v>58.28</v>
      </c>
      <c r="Q71" s="595">
        <f t="shared" si="0"/>
        <v>1</v>
      </c>
    </row>
    <row r="72" spans="1:17" s="28" customFormat="1" ht="81" customHeight="1">
      <c r="A72" s="51" t="s">
        <v>965</v>
      </c>
      <c r="B72" s="69" t="s">
        <v>488</v>
      </c>
      <c r="C72" s="48" t="s">
        <v>390</v>
      </c>
      <c r="D72" s="48" t="s">
        <v>386</v>
      </c>
      <c r="E72" s="48" t="s">
        <v>770</v>
      </c>
      <c r="F72" s="48" t="s">
        <v>470</v>
      </c>
      <c r="G72" s="48" t="s">
        <v>546</v>
      </c>
      <c r="H72" s="48" t="s">
        <v>552</v>
      </c>
      <c r="I72" s="48" t="s">
        <v>470</v>
      </c>
      <c r="J72" s="48" t="s">
        <v>770</v>
      </c>
      <c r="K72" s="48" t="s">
        <v>478</v>
      </c>
      <c r="L72" s="48" t="s">
        <v>239</v>
      </c>
      <c r="M72" s="364"/>
      <c r="N72" s="363"/>
      <c r="O72" s="363">
        <v>98748.76</v>
      </c>
      <c r="P72" s="363">
        <v>90808.43</v>
      </c>
      <c r="Q72" s="595">
        <f t="shared" si="0"/>
        <v>0.9195905852387412</v>
      </c>
    </row>
    <row r="73" spans="1:17" s="28" customFormat="1" ht="81" customHeight="1">
      <c r="A73" s="51" t="s">
        <v>1012</v>
      </c>
      <c r="B73" s="69" t="s">
        <v>488</v>
      </c>
      <c r="C73" s="48" t="s">
        <v>390</v>
      </c>
      <c r="D73" s="48" t="s">
        <v>386</v>
      </c>
      <c r="E73" s="48" t="s">
        <v>770</v>
      </c>
      <c r="F73" s="48" t="s">
        <v>470</v>
      </c>
      <c r="G73" s="48" t="s">
        <v>546</v>
      </c>
      <c r="H73" s="48" t="s">
        <v>552</v>
      </c>
      <c r="I73" s="48" t="s">
        <v>470</v>
      </c>
      <c r="J73" s="48" t="s">
        <v>770</v>
      </c>
      <c r="K73" s="48" t="s">
        <v>479</v>
      </c>
      <c r="L73" s="48" t="s">
        <v>778</v>
      </c>
      <c r="M73" s="364"/>
      <c r="N73" s="363"/>
      <c r="O73" s="363">
        <v>20659.97</v>
      </c>
      <c r="P73" s="363">
        <v>0</v>
      </c>
      <c r="Q73" s="595">
        <f t="shared" si="0"/>
        <v>0</v>
      </c>
    </row>
    <row r="74" spans="1:17" s="28" customFormat="1" ht="81" customHeight="1">
      <c r="A74" s="51" t="s">
        <v>966</v>
      </c>
      <c r="B74" s="69" t="s">
        <v>488</v>
      </c>
      <c r="C74" s="48" t="s">
        <v>390</v>
      </c>
      <c r="D74" s="48" t="s">
        <v>386</v>
      </c>
      <c r="E74" s="48" t="s">
        <v>770</v>
      </c>
      <c r="F74" s="48" t="s">
        <v>470</v>
      </c>
      <c r="G74" s="48" t="s">
        <v>546</v>
      </c>
      <c r="H74" s="48" t="s">
        <v>552</v>
      </c>
      <c r="I74" s="48" t="s">
        <v>481</v>
      </c>
      <c r="J74" s="48" t="s">
        <v>770</v>
      </c>
      <c r="K74" s="48" t="s">
        <v>478</v>
      </c>
      <c r="L74" s="48" t="s">
        <v>778</v>
      </c>
      <c r="M74" s="364"/>
      <c r="N74" s="363"/>
      <c r="O74" s="363">
        <v>29245.06</v>
      </c>
      <c r="P74" s="363">
        <v>0</v>
      </c>
      <c r="Q74" s="595">
        <f t="shared" si="0"/>
        <v>0</v>
      </c>
    </row>
    <row r="75" spans="1:17" s="28" customFormat="1" ht="81" customHeight="1">
      <c r="A75" s="51" t="s">
        <v>1013</v>
      </c>
      <c r="B75" s="69" t="s">
        <v>488</v>
      </c>
      <c r="C75" s="48" t="s">
        <v>390</v>
      </c>
      <c r="D75" s="48" t="s">
        <v>386</v>
      </c>
      <c r="E75" s="48" t="s">
        <v>770</v>
      </c>
      <c r="F75" s="48" t="s">
        <v>470</v>
      </c>
      <c r="G75" s="48" t="s">
        <v>546</v>
      </c>
      <c r="H75" s="48" t="s">
        <v>552</v>
      </c>
      <c r="I75" s="48" t="s">
        <v>481</v>
      </c>
      <c r="J75" s="48" t="s">
        <v>770</v>
      </c>
      <c r="K75" s="48" t="s">
        <v>479</v>
      </c>
      <c r="L75" s="48" t="s">
        <v>778</v>
      </c>
      <c r="M75" s="364"/>
      <c r="N75" s="363"/>
      <c r="O75" s="363">
        <v>4962.92</v>
      </c>
      <c r="P75" s="363">
        <v>0</v>
      </c>
      <c r="Q75" s="595">
        <f t="shared" si="0"/>
        <v>0</v>
      </c>
    </row>
    <row r="76" spans="1:17" s="28" customFormat="1" ht="42" customHeight="1">
      <c r="A76" s="360" t="s">
        <v>545</v>
      </c>
      <c r="B76" s="72" t="s">
        <v>488</v>
      </c>
      <c r="C76" s="406" t="s">
        <v>390</v>
      </c>
      <c r="D76" s="406" t="s">
        <v>390</v>
      </c>
      <c r="E76" s="362" t="s">
        <v>770</v>
      </c>
      <c r="F76" s="362" t="s">
        <v>548</v>
      </c>
      <c r="G76" s="362" t="s">
        <v>478</v>
      </c>
      <c r="H76" s="362" t="s">
        <v>770</v>
      </c>
      <c r="I76" s="362" t="s">
        <v>548</v>
      </c>
      <c r="J76" s="362" t="s">
        <v>770</v>
      </c>
      <c r="K76" s="362" t="s">
        <v>478</v>
      </c>
      <c r="L76" s="407" t="s">
        <v>369</v>
      </c>
      <c r="M76" s="364"/>
      <c r="N76" s="363">
        <v>0</v>
      </c>
      <c r="O76" s="363">
        <v>8764.82</v>
      </c>
      <c r="P76" s="363">
        <f>P77</f>
        <v>7946.69</v>
      </c>
      <c r="Q76" s="595">
        <f aca="true" t="shared" si="1" ref="Q76:Q139">P76/O76</f>
        <v>0.9066575240563982</v>
      </c>
    </row>
    <row r="77" spans="1:17" s="28" customFormat="1" ht="36" customHeight="1">
      <c r="A77" s="51" t="s">
        <v>777</v>
      </c>
      <c r="B77" s="72" t="s">
        <v>488</v>
      </c>
      <c r="C77" s="406" t="s">
        <v>390</v>
      </c>
      <c r="D77" s="406" t="s">
        <v>390</v>
      </c>
      <c r="E77" s="362" t="s">
        <v>770</v>
      </c>
      <c r="F77" s="362" t="s">
        <v>548</v>
      </c>
      <c r="G77" s="362" t="s">
        <v>478</v>
      </c>
      <c r="H77" s="362" t="s">
        <v>770</v>
      </c>
      <c r="I77" s="362" t="s">
        <v>548</v>
      </c>
      <c r="J77" s="362" t="s">
        <v>770</v>
      </c>
      <c r="K77" s="362" t="s">
        <v>478</v>
      </c>
      <c r="L77" s="407" t="s">
        <v>369</v>
      </c>
      <c r="M77" s="364"/>
      <c r="N77" s="363">
        <v>0</v>
      </c>
      <c r="O77" s="363">
        <v>8764.72</v>
      </c>
      <c r="P77" s="363">
        <v>7946.69</v>
      </c>
      <c r="Q77" s="595">
        <f t="shared" si="1"/>
        <v>0.9066678684544401</v>
      </c>
    </row>
    <row r="78" spans="1:17" s="28" customFormat="1" ht="33.75" customHeight="1">
      <c r="A78" s="378" t="s">
        <v>849</v>
      </c>
      <c r="B78" s="72" t="s">
        <v>488</v>
      </c>
      <c r="C78" s="406" t="s">
        <v>388</v>
      </c>
      <c r="D78" s="406" t="s">
        <v>385</v>
      </c>
      <c r="E78" s="362" t="s">
        <v>770</v>
      </c>
      <c r="F78" s="362" t="s">
        <v>528</v>
      </c>
      <c r="G78" s="362" t="s">
        <v>478</v>
      </c>
      <c r="H78" s="362" t="s">
        <v>770</v>
      </c>
      <c r="I78" s="362" t="s">
        <v>528</v>
      </c>
      <c r="J78" s="362" t="s">
        <v>770</v>
      </c>
      <c r="K78" s="362" t="s">
        <v>478</v>
      </c>
      <c r="L78" s="407" t="s">
        <v>778</v>
      </c>
      <c r="M78" s="364"/>
      <c r="N78" s="363"/>
      <c r="O78" s="363">
        <v>25.45</v>
      </c>
      <c r="P78" s="363">
        <v>25.45</v>
      </c>
      <c r="Q78" s="595">
        <f t="shared" si="1"/>
        <v>1</v>
      </c>
    </row>
    <row r="79" spans="1:17" s="28" customFormat="1" ht="41.25" customHeight="1">
      <c r="A79" s="378" t="s">
        <v>849</v>
      </c>
      <c r="B79" s="72" t="s">
        <v>488</v>
      </c>
      <c r="C79" s="406" t="s">
        <v>388</v>
      </c>
      <c r="D79" s="406" t="s">
        <v>385</v>
      </c>
      <c r="E79" s="362" t="s">
        <v>770</v>
      </c>
      <c r="F79" s="362" t="s">
        <v>528</v>
      </c>
      <c r="G79" s="362" t="s">
        <v>478</v>
      </c>
      <c r="H79" s="362" t="s">
        <v>770</v>
      </c>
      <c r="I79" s="362" t="s">
        <v>528</v>
      </c>
      <c r="J79" s="362" t="s">
        <v>770</v>
      </c>
      <c r="K79" s="362" t="s">
        <v>470</v>
      </c>
      <c r="L79" s="407" t="s">
        <v>778</v>
      </c>
      <c r="M79" s="364"/>
      <c r="N79" s="363"/>
      <c r="O79" s="363">
        <v>2996.91</v>
      </c>
      <c r="P79" s="363">
        <v>2996.91</v>
      </c>
      <c r="Q79" s="595">
        <f t="shared" si="1"/>
        <v>1</v>
      </c>
    </row>
    <row r="80" spans="1:17" s="28" customFormat="1" ht="39.75" customHeight="1">
      <c r="A80" s="352" t="s">
        <v>817</v>
      </c>
      <c r="B80" s="72" t="s">
        <v>488</v>
      </c>
      <c r="C80" s="406" t="s">
        <v>253</v>
      </c>
      <c r="D80" s="406" t="s">
        <v>387</v>
      </c>
      <c r="E80" s="362" t="s">
        <v>770</v>
      </c>
      <c r="F80" s="362" t="s">
        <v>479</v>
      </c>
      <c r="G80" s="362" t="s">
        <v>479</v>
      </c>
      <c r="H80" s="362" t="s">
        <v>770</v>
      </c>
      <c r="I80" s="362" t="s">
        <v>479</v>
      </c>
      <c r="J80" s="362" t="s">
        <v>770</v>
      </c>
      <c r="K80" s="362" t="s">
        <v>479</v>
      </c>
      <c r="L80" s="407" t="s">
        <v>778</v>
      </c>
      <c r="M80" s="364"/>
      <c r="N80" s="363"/>
      <c r="O80" s="363">
        <v>232.73</v>
      </c>
      <c r="P80" s="363">
        <v>232.73</v>
      </c>
      <c r="Q80" s="595">
        <f t="shared" si="1"/>
        <v>1</v>
      </c>
    </row>
    <row r="81" spans="1:17" s="27" customFormat="1" ht="36.75" customHeight="1">
      <c r="A81" s="252" t="s">
        <v>797</v>
      </c>
      <c r="B81" s="379" t="s">
        <v>488</v>
      </c>
      <c r="C81" s="406" t="s">
        <v>483</v>
      </c>
      <c r="D81" s="406" t="s">
        <v>391</v>
      </c>
      <c r="E81" s="406" t="s">
        <v>528</v>
      </c>
      <c r="F81" s="406" t="s">
        <v>470</v>
      </c>
      <c r="G81" s="406" t="s">
        <v>770</v>
      </c>
      <c r="H81" s="406" t="s">
        <v>528</v>
      </c>
      <c r="I81" s="406" t="s">
        <v>470</v>
      </c>
      <c r="J81" s="406" t="s">
        <v>770</v>
      </c>
      <c r="K81" s="406" t="s">
        <v>770</v>
      </c>
      <c r="L81" s="406" t="s">
        <v>369</v>
      </c>
      <c r="M81" s="361"/>
      <c r="N81" s="366">
        <f>N82</f>
        <v>1000</v>
      </c>
      <c r="O81" s="573">
        <f>O82</f>
        <v>720.41</v>
      </c>
      <c r="P81" s="573">
        <f>P82</f>
        <v>720.41</v>
      </c>
      <c r="Q81" s="595">
        <f t="shared" si="1"/>
        <v>1</v>
      </c>
    </row>
    <row r="82" spans="1:17" s="28" customFormat="1" ht="36.75" customHeight="1">
      <c r="A82" s="51" t="s">
        <v>962</v>
      </c>
      <c r="B82" s="73" t="s">
        <v>488</v>
      </c>
      <c r="C82" s="407" t="s">
        <v>483</v>
      </c>
      <c r="D82" s="407" t="s">
        <v>391</v>
      </c>
      <c r="E82" s="406" t="s">
        <v>528</v>
      </c>
      <c r="F82" s="406" t="s">
        <v>470</v>
      </c>
      <c r="G82" s="406" t="s">
        <v>770</v>
      </c>
      <c r="H82" s="406" t="s">
        <v>528</v>
      </c>
      <c r="I82" s="406" t="s">
        <v>470</v>
      </c>
      <c r="J82" s="406" t="s">
        <v>770</v>
      </c>
      <c r="K82" s="406" t="s">
        <v>770</v>
      </c>
      <c r="L82" s="407" t="s">
        <v>514</v>
      </c>
      <c r="M82" s="364"/>
      <c r="N82" s="365">
        <v>1000</v>
      </c>
      <c r="O82" s="572">
        <v>720.41</v>
      </c>
      <c r="P82" s="572">
        <v>720.41</v>
      </c>
      <c r="Q82" s="595">
        <f t="shared" si="1"/>
        <v>1</v>
      </c>
    </row>
    <row r="83" spans="1:17" s="28" customFormat="1" ht="36.75" customHeight="1">
      <c r="A83" s="51" t="s">
        <v>1014</v>
      </c>
      <c r="B83" s="73" t="s">
        <v>488</v>
      </c>
      <c r="C83" s="407" t="s">
        <v>483</v>
      </c>
      <c r="D83" s="407" t="s">
        <v>391</v>
      </c>
      <c r="E83" s="406" t="s">
        <v>528</v>
      </c>
      <c r="F83" s="406" t="s">
        <v>770</v>
      </c>
      <c r="G83" s="406" t="s">
        <v>528</v>
      </c>
      <c r="H83" s="406" t="s">
        <v>528</v>
      </c>
      <c r="I83" s="406" t="s">
        <v>770</v>
      </c>
      <c r="J83" s="406" t="s">
        <v>770</v>
      </c>
      <c r="K83" s="406" t="s">
        <v>479</v>
      </c>
      <c r="L83" s="407" t="s">
        <v>514</v>
      </c>
      <c r="M83" s="364"/>
      <c r="N83" s="365"/>
      <c r="O83" s="572">
        <v>78.97</v>
      </c>
      <c r="P83" s="572">
        <v>78.97</v>
      </c>
      <c r="Q83" s="595">
        <f t="shared" si="1"/>
        <v>1</v>
      </c>
    </row>
    <row r="84" spans="1:18" s="28" customFormat="1" ht="94.5" customHeight="1">
      <c r="A84" s="51" t="s">
        <v>952</v>
      </c>
      <c r="B84" s="73" t="s">
        <v>488</v>
      </c>
      <c r="C84" s="407" t="s">
        <v>483</v>
      </c>
      <c r="D84" s="407" t="s">
        <v>391</v>
      </c>
      <c r="E84" s="406" t="s">
        <v>552</v>
      </c>
      <c r="F84" s="406" t="s">
        <v>552</v>
      </c>
      <c r="G84" s="406" t="s">
        <v>528</v>
      </c>
      <c r="H84" s="406" t="s">
        <v>552</v>
      </c>
      <c r="I84" s="406" t="s">
        <v>770</v>
      </c>
      <c r="J84" s="406" t="s">
        <v>770</v>
      </c>
      <c r="K84" s="406" t="s">
        <v>528</v>
      </c>
      <c r="L84" s="407" t="s">
        <v>778</v>
      </c>
      <c r="M84" s="364"/>
      <c r="N84" s="365">
        <v>0</v>
      </c>
      <c r="O84" s="572">
        <v>250</v>
      </c>
      <c r="P84" s="572">
        <v>250</v>
      </c>
      <c r="Q84" s="595">
        <f t="shared" si="1"/>
        <v>1</v>
      </c>
      <c r="R84" s="261"/>
    </row>
    <row r="85" spans="1:18" ht="84" customHeight="1" outlineLevel="1">
      <c r="A85" s="349" t="s">
        <v>798</v>
      </c>
      <c r="B85" s="350" t="s">
        <v>514</v>
      </c>
      <c r="C85" s="350"/>
      <c r="D85" s="350"/>
      <c r="E85" s="350"/>
      <c r="F85" s="350"/>
      <c r="G85" s="350"/>
      <c r="H85" s="350"/>
      <c r="I85" s="350"/>
      <c r="J85" s="350"/>
      <c r="K85" s="350"/>
      <c r="L85" s="350"/>
      <c r="M85" s="350"/>
      <c r="N85" s="351">
        <f>N87</f>
        <v>2240.69</v>
      </c>
      <c r="O85" s="351">
        <f>O87</f>
        <v>2249.91</v>
      </c>
      <c r="P85" s="351">
        <f>P87</f>
        <v>2249.91</v>
      </c>
      <c r="Q85" s="595">
        <f t="shared" si="1"/>
        <v>1</v>
      </c>
      <c r="R85" s="80"/>
    </row>
    <row r="86" spans="1:17" ht="45" hidden="1" outlineLevel="2">
      <c r="A86" s="51" t="s">
        <v>348</v>
      </c>
      <c r="B86" s="48" t="s">
        <v>514</v>
      </c>
      <c r="C86" s="48" t="s">
        <v>386</v>
      </c>
      <c r="D86" s="48" t="s">
        <v>391</v>
      </c>
      <c r="E86" s="48"/>
      <c r="F86" s="48"/>
      <c r="G86" s="48"/>
      <c r="H86" s="48"/>
      <c r="I86" s="48"/>
      <c r="J86" s="48"/>
      <c r="K86" s="48"/>
      <c r="L86" s="48"/>
      <c r="M86" s="48"/>
      <c r="N86" s="49">
        <f>N89+N92</f>
        <v>960.35</v>
      </c>
      <c r="O86" s="49">
        <f>O89+O92</f>
        <v>965.06</v>
      </c>
      <c r="P86" s="49"/>
      <c r="Q86" s="595">
        <f t="shared" si="1"/>
        <v>0</v>
      </c>
    </row>
    <row r="87" spans="1:17" s="79" customFormat="1" ht="56.25" customHeight="1" outlineLevel="2">
      <c r="A87" s="352" t="s">
        <v>799</v>
      </c>
      <c r="B87" s="353" t="s">
        <v>514</v>
      </c>
      <c r="C87" s="353" t="s">
        <v>386</v>
      </c>
      <c r="D87" s="353" t="s">
        <v>391</v>
      </c>
      <c r="E87" s="353" t="s">
        <v>528</v>
      </c>
      <c r="F87" s="353" t="s">
        <v>770</v>
      </c>
      <c r="G87" s="353"/>
      <c r="H87" s="353"/>
      <c r="I87" s="353"/>
      <c r="J87" s="353"/>
      <c r="K87" s="353"/>
      <c r="L87" s="353" t="s">
        <v>369</v>
      </c>
      <c r="M87" s="367"/>
      <c r="N87" s="368">
        <f>N88+N105</f>
        <v>2240.69</v>
      </c>
      <c r="O87" s="355">
        <f>O88+O105</f>
        <v>2249.91</v>
      </c>
      <c r="P87" s="355">
        <f>P88+P105</f>
        <v>2249.91</v>
      </c>
      <c r="Q87" s="595">
        <f t="shared" si="1"/>
        <v>1</v>
      </c>
    </row>
    <row r="88" spans="1:17" s="79" customFormat="1" ht="63.75" customHeight="1" outlineLevel="2">
      <c r="A88" s="51" t="s">
        <v>771</v>
      </c>
      <c r="B88" s="48" t="s">
        <v>514</v>
      </c>
      <c r="C88" s="48" t="s">
        <v>386</v>
      </c>
      <c r="D88" s="48" t="s">
        <v>391</v>
      </c>
      <c r="E88" s="48" t="s">
        <v>528</v>
      </c>
      <c r="F88" s="48" t="s">
        <v>770</v>
      </c>
      <c r="G88" s="353"/>
      <c r="H88" s="353"/>
      <c r="I88" s="353"/>
      <c r="J88" s="353"/>
      <c r="K88" s="353"/>
      <c r="L88" s="48" t="s">
        <v>369</v>
      </c>
      <c r="M88" s="367"/>
      <c r="N88" s="369">
        <f>N89+N92+N102</f>
        <v>1241.58</v>
      </c>
      <c r="O88" s="356">
        <f>O89+O92+O102</f>
        <v>1302.29</v>
      </c>
      <c r="P88" s="356">
        <f>P89+P92+P102</f>
        <v>1302.29</v>
      </c>
      <c r="Q88" s="595">
        <f t="shared" si="1"/>
        <v>1</v>
      </c>
    </row>
    <row r="89" spans="1:17" ht="87.75" customHeight="1" outlineLevel="2">
      <c r="A89" s="51" t="s">
        <v>800</v>
      </c>
      <c r="B89" s="48" t="s">
        <v>514</v>
      </c>
      <c r="C89" s="48" t="s">
        <v>386</v>
      </c>
      <c r="D89" s="48" t="s">
        <v>391</v>
      </c>
      <c r="E89" s="48" t="s">
        <v>528</v>
      </c>
      <c r="F89" s="48" t="s">
        <v>770</v>
      </c>
      <c r="G89" s="48" t="s">
        <v>528</v>
      </c>
      <c r="H89" s="48" t="s">
        <v>528</v>
      </c>
      <c r="I89" s="48" t="s">
        <v>770</v>
      </c>
      <c r="J89" s="48" t="s">
        <v>770</v>
      </c>
      <c r="K89" s="48" t="s">
        <v>480</v>
      </c>
      <c r="L89" s="48" t="s">
        <v>773</v>
      </c>
      <c r="M89" s="48"/>
      <c r="N89" s="49">
        <f>N90+N91+100+58.77</f>
        <v>739.97</v>
      </c>
      <c r="O89" s="49">
        <v>714.63</v>
      </c>
      <c r="P89" s="49">
        <v>714.63</v>
      </c>
      <c r="Q89" s="595">
        <f t="shared" si="1"/>
        <v>1</v>
      </c>
    </row>
    <row r="90" spans="1:17" ht="21" customHeight="1" hidden="1" outlineLevel="2">
      <c r="A90" s="51" t="s">
        <v>774</v>
      </c>
      <c r="B90" s="48" t="s">
        <v>514</v>
      </c>
      <c r="C90" s="48" t="s">
        <v>386</v>
      </c>
      <c r="D90" s="48" t="s">
        <v>391</v>
      </c>
      <c r="E90" s="48"/>
      <c r="F90" s="48"/>
      <c r="G90" s="48"/>
      <c r="H90" s="48"/>
      <c r="I90" s="48"/>
      <c r="J90" s="48"/>
      <c r="K90" s="48"/>
      <c r="L90" s="48" t="s">
        <v>635</v>
      </c>
      <c r="M90" s="48" t="s">
        <v>636</v>
      </c>
      <c r="N90" s="49">
        <v>446.39</v>
      </c>
      <c r="O90" s="49">
        <v>446.39</v>
      </c>
      <c r="P90" s="49"/>
      <c r="Q90" s="595">
        <f t="shared" si="1"/>
        <v>0</v>
      </c>
    </row>
    <row r="91" spans="1:17" ht="18.75" customHeight="1" hidden="1" outlineLevel="2">
      <c r="A91" s="51" t="s">
        <v>775</v>
      </c>
      <c r="B91" s="48" t="s">
        <v>514</v>
      </c>
      <c r="C91" s="48" t="s">
        <v>386</v>
      </c>
      <c r="D91" s="48" t="s">
        <v>391</v>
      </c>
      <c r="E91" s="48"/>
      <c r="F91" s="48"/>
      <c r="G91" s="48"/>
      <c r="H91" s="48"/>
      <c r="I91" s="48"/>
      <c r="J91" s="48"/>
      <c r="K91" s="48"/>
      <c r="L91" s="48" t="s">
        <v>635</v>
      </c>
      <c r="M91" s="48" t="s">
        <v>637</v>
      </c>
      <c r="N91" s="49">
        <v>134.81</v>
      </c>
      <c r="O91" s="49">
        <v>134.81</v>
      </c>
      <c r="P91" s="49"/>
      <c r="Q91" s="595">
        <f t="shared" si="1"/>
        <v>0</v>
      </c>
    </row>
    <row r="92" spans="1:17" ht="30" outlineLevel="2">
      <c r="A92" s="51" t="s">
        <v>777</v>
      </c>
      <c r="B92" s="48" t="s">
        <v>514</v>
      </c>
      <c r="C92" s="48" t="s">
        <v>386</v>
      </c>
      <c r="D92" s="48" t="s">
        <v>391</v>
      </c>
      <c r="E92" s="48" t="s">
        <v>528</v>
      </c>
      <c r="F92" s="48" t="s">
        <v>770</v>
      </c>
      <c r="G92" s="48" t="s">
        <v>528</v>
      </c>
      <c r="H92" s="48" t="s">
        <v>528</v>
      </c>
      <c r="I92" s="48" t="s">
        <v>770</v>
      </c>
      <c r="J92" s="48" t="s">
        <v>770</v>
      </c>
      <c r="K92" s="48" t="s">
        <v>470</v>
      </c>
      <c r="L92" s="48" t="s">
        <v>778</v>
      </c>
      <c r="M92" s="48"/>
      <c r="N92" s="49">
        <v>220.38</v>
      </c>
      <c r="O92" s="49">
        <v>250.43</v>
      </c>
      <c r="P92" s="49">
        <v>250.43</v>
      </c>
      <c r="Q92" s="595">
        <f t="shared" si="1"/>
        <v>1</v>
      </c>
    </row>
    <row r="93" spans="1:17" ht="16.5" hidden="1" outlineLevel="2">
      <c r="A93" s="51" t="s">
        <v>779</v>
      </c>
      <c r="B93" s="48" t="s">
        <v>514</v>
      </c>
      <c r="C93" s="48" t="s">
        <v>386</v>
      </c>
      <c r="D93" s="48" t="s">
        <v>391</v>
      </c>
      <c r="E93" s="48" t="s">
        <v>528</v>
      </c>
      <c r="F93" s="48" t="s">
        <v>770</v>
      </c>
      <c r="G93" s="48" t="s">
        <v>528</v>
      </c>
      <c r="H93" s="48" t="s">
        <v>528</v>
      </c>
      <c r="I93" s="48" t="s">
        <v>770</v>
      </c>
      <c r="J93" s="48" t="s">
        <v>770</v>
      </c>
      <c r="K93" s="48"/>
      <c r="L93" s="48" t="s">
        <v>639</v>
      </c>
      <c r="M93" s="48" t="s">
        <v>640</v>
      </c>
      <c r="N93" s="49">
        <v>12</v>
      </c>
      <c r="O93" s="49">
        <v>12</v>
      </c>
      <c r="P93" s="49"/>
      <c r="Q93" s="595">
        <f t="shared" si="1"/>
        <v>0</v>
      </c>
    </row>
    <row r="94" spans="1:17" ht="16.5" hidden="1" outlineLevel="2">
      <c r="A94" s="51" t="s">
        <v>780</v>
      </c>
      <c r="B94" s="48" t="s">
        <v>514</v>
      </c>
      <c r="C94" s="48" t="s">
        <v>386</v>
      </c>
      <c r="D94" s="48" t="s">
        <v>391</v>
      </c>
      <c r="E94" s="48" t="s">
        <v>528</v>
      </c>
      <c r="F94" s="48" t="s">
        <v>770</v>
      </c>
      <c r="G94" s="48" t="s">
        <v>528</v>
      </c>
      <c r="H94" s="48" t="s">
        <v>528</v>
      </c>
      <c r="I94" s="48" t="s">
        <v>770</v>
      </c>
      <c r="J94" s="48" t="s">
        <v>770</v>
      </c>
      <c r="K94" s="48"/>
      <c r="L94" s="48" t="s">
        <v>639</v>
      </c>
      <c r="M94" s="48" t="s">
        <v>641</v>
      </c>
      <c r="N94" s="49">
        <v>0</v>
      </c>
      <c r="O94" s="49">
        <v>0</v>
      </c>
      <c r="P94" s="49"/>
      <c r="Q94" s="595" t="e">
        <f t="shared" si="1"/>
        <v>#DIV/0!</v>
      </c>
    </row>
    <row r="95" spans="1:17" ht="16.5" hidden="1" outlineLevel="2">
      <c r="A95" s="51" t="s">
        <v>781</v>
      </c>
      <c r="B95" s="48" t="s">
        <v>514</v>
      </c>
      <c r="C95" s="48" t="s">
        <v>386</v>
      </c>
      <c r="D95" s="48" t="s">
        <v>391</v>
      </c>
      <c r="E95" s="48" t="s">
        <v>528</v>
      </c>
      <c r="F95" s="48" t="s">
        <v>770</v>
      </c>
      <c r="G95" s="48" t="s">
        <v>528</v>
      </c>
      <c r="H95" s="48" t="s">
        <v>528</v>
      </c>
      <c r="I95" s="48" t="s">
        <v>770</v>
      </c>
      <c r="J95" s="48" t="s">
        <v>770</v>
      </c>
      <c r="K95" s="48"/>
      <c r="L95" s="48" t="s">
        <v>639</v>
      </c>
      <c r="M95" s="48" t="s">
        <v>642</v>
      </c>
      <c r="N95" s="49">
        <v>0</v>
      </c>
      <c r="O95" s="49">
        <v>0</v>
      </c>
      <c r="P95" s="49"/>
      <c r="Q95" s="595" t="e">
        <f t="shared" si="1"/>
        <v>#DIV/0!</v>
      </c>
    </row>
    <row r="96" spans="1:17" ht="16.5" hidden="1" outlineLevel="2">
      <c r="A96" s="51" t="s">
        <v>782</v>
      </c>
      <c r="B96" s="48" t="s">
        <v>514</v>
      </c>
      <c r="C96" s="48" t="s">
        <v>386</v>
      </c>
      <c r="D96" s="48" t="s">
        <v>391</v>
      </c>
      <c r="E96" s="48" t="s">
        <v>528</v>
      </c>
      <c r="F96" s="48" t="s">
        <v>770</v>
      </c>
      <c r="G96" s="48" t="s">
        <v>528</v>
      </c>
      <c r="H96" s="48" t="s">
        <v>528</v>
      </c>
      <c r="I96" s="48" t="s">
        <v>770</v>
      </c>
      <c r="J96" s="48" t="s">
        <v>770</v>
      </c>
      <c r="K96" s="48"/>
      <c r="L96" s="48" t="s">
        <v>639</v>
      </c>
      <c r="M96" s="48" t="s">
        <v>643</v>
      </c>
      <c r="N96" s="49">
        <v>0</v>
      </c>
      <c r="O96" s="49">
        <v>0</v>
      </c>
      <c r="P96" s="49"/>
      <c r="Q96" s="595" t="e">
        <f t="shared" si="1"/>
        <v>#DIV/0!</v>
      </c>
    </row>
    <row r="97" spans="1:17" ht="16.5" hidden="1" outlineLevel="2">
      <c r="A97" s="51" t="s">
        <v>783</v>
      </c>
      <c r="B97" s="48" t="s">
        <v>514</v>
      </c>
      <c r="C97" s="48" t="s">
        <v>386</v>
      </c>
      <c r="D97" s="48" t="s">
        <v>391</v>
      </c>
      <c r="E97" s="48" t="s">
        <v>528</v>
      </c>
      <c r="F97" s="48" t="s">
        <v>770</v>
      </c>
      <c r="G97" s="48" t="s">
        <v>528</v>
      </c>
      <c r="H97" s="48" t="s">
        <v>528</v>
      </c>
      <c r="I97" s="48" t="s">
        <v>770</v>
      </c>
      <c r="J97" s="48" t="s">
        <v>770</v>
      </c>
      <c r="K97" s="48"/>
      <c r="L97" s="48" t="s">
        <v>639</v>
      </c>
      <c r="M97" s="48" t="s">
        <v>644</v>
      </c>
      <c r="N97" s="49">
        <v>7.4</v>
      </c>
      <c r="O97" s="49">
        <v>7.4</v>
      </c>
      <c r="P97" s="49"/>
      <c r="Q97" s="595">
        <f t="shared" si="1"/>
        <v>0</v>
      </c>
    </row>
    <row r="98" spans="1:17" ht="16.5" hidden="1" outlineLevel="2">
      <c r="A98" s="51" t="s">
        <v>784</v>
      </c>
      <c r="B98" s="48" t="s">
        <v>514</v>
      </c>
      <c r="C98" s="48" t="s">
        <v>386</v>
      </c>
      <c r="D98" s="48" t="s">
        <v>391</v>
      </c>
      <c r="E98" s="48" t="s">
        <v>528</v>
      </c>
      <c r="F98" s="48" t="s">
        <v>770</v>
      </c>
      <c r="G98" s="48" t="s">
        <v>528</v>
      </c>
      <c r="H98" s="48" t="s">
        <v>528</v>
      </c>
      <c r="I98" s="48" t="s">
        <v>770</v>
      </c>
      <c r="J98" s="48" t="s">
        <v>770</v>
      </c>
      <c r="K98" s="48"/>
      <c r="L98" s="48" t="s">
        <v>639</v>
      </c>
      <c r="M98" s="48" t="s">
        <v>645</v>
      </c>
      <c r="N98" s="49">
        <v>120.71</v>
      </c>
      <c r="O98" s="49">
        <v>120.71</v>
      </c>
      <c r="P98" s="49"/>
      <c r="Q98" s="595">
        <f t="shared" si="1"/>
        <v>0</v>
      </c>
    </row>
    <row r="99" spans="1:17" ht="16.5" hidden="1" outlineLevel="2">
      <c r="A99" s="51" t="s">
        <v>785</v>
      </c>
      <c r="B99" s="48" t="s">
        <v>514</v>
      </c>
      <c r="C99" s="48" t="s">
        <v>386</v>
      </c>
      <c r="D99" s="48" t="s">
        <v>391</v>
      </c>
      <c r="E99" s="48" t="s">
        <v>528</v>
      </c>
      <c r="F99" s="48" t="s">
        <v>770</v>
      </c>
      <c r="G99" s="48" t="s">
        <v>528</v>
      </c>
      <c r="H99" s="48" t="s">
        <v>528</v>
      </c>
      <c r="I99" s="48" t="s">
        <v>770</v>
      </c>
      <c r="J99" s="48" t="s">
        <v>770</v>
      </c>
      <c r="K99" s="48"/>
      <c r="L99" s="48" t="s">
        <v>639</v>
      </c>
      <c r="M99" s="48" t="s">
        <v>646</v>
      </c>
      <c r="N99" s="49">
        <v>60</v>
      </c>
      <c r="O99" s="49">
        <v>60</v>
      </c>
      <c r="P99" s="49"/>
      <c r="Q99" s="595">
        <f t="shared" si="1"/>
        <v>0</v>
      </c>
    </row>
    <row r="100" spans="1:17" ht="16.5" hidden="1" outlineLevel="2">
      <c r="A100" s="51" t="s">
        <v>786</v>
      </c>
      <c r="B100" s="48" t="s">
        <v>514</v>
      </c>
      <c r="C100" s="48" t="s">
        <v>386</v>
      </c>
      <c r="D100" s="48" t="s">
        <v>391</v>
      </c>
      <c r="E100" s="48" t="s">
        <v>528</v>
      </c>
      <c r="F100" s="48" t="s">
        <v>770</v>
      </c>
      <c r="G100" s="48" t="s">
        <v>528</v>
      </c>
      <c r="H100" s="48" t="s">
        <v>528</v>
      </c>
      <c r="I100" s="48" t="s">
        <v>770</v>
      </c>
      <c r="J100" s="48" t="s">
        <v>770</v>
      </c>
      <c r="K100" s="48"/>
      <c r="L100" s="48" t="s">
        <v>639</v>
      </c>
      <c r="M100" s="48" t="s">
        <v>647</v>
      </c>
      <c r="N100" s="49">
        <v>0</v>
      </c>
      <c r="O100" s="49">
        <v>0</v>
      </c>
      <c r="P100" s="49"/>
      <c r="Q100" s="595" t="e">
        <f t="shared" si="1"/>
        <v>#DIV/0!</v>
      </c>
    </row>
    <row r="101" spans="1:17" ht="16.5" hidden="1" outlineLevel="2">
      <c r="A101" s="51" t="s">
        <v>787</v>
      </c>
      <c r="B101" s="48" t="s">
        <v>514</v>
      </c>
      <c r="C101" s="48" t="s">
        <v>386</v>
      </c>
      <c r="D101" s="48" t="s">
        <v>391</v>
      </c>
      <c r="E101" s="48" t="s">
        <v>528</v>
      </c>
      <c r="F101" s="48" t="s">
        <v>770</v>
      </c>
      <c r="G101" s="48" t="s">
        <v>528</v>
      </c>
      <c r="H101" s="48" t="s">
        <v>528</v>
      </c>
      <c r="I101" s="48" t="s">
        <v>770</v>
      </c>
      <c r="J101" s="48" t="s">
        <v>770</v>
      </c>
      <c r="K101" s="48"/>
      <c r="L101" s="48" t="s">
        <v>639</v>
      </c>
      <c r="M101" s="48" t="s">
        <v>648</v>
      </c>
      <c r="N101" s="49">
        <v>72</v>
      </c>
      <c r="O101" s="49">
        <v>72</v>
      </c>
      <c r="P101" s="49"/>
      <c r="Q101" s="595">
        <f t="shared" si="1"/>
        <v>0</v>
      </c>
    </row>
    <row r="102" spans="1:17" ht="19.5" customHeight="1" outlineLevel="2">
      <c r="A102" s="51" t="s">
        <v>801</v>
      </c>
      <c r="B102" s="48" t="s">
        <v>514</v>
      </c>
      <c r="C102" s="48" t="s">
        <v>386</v>
      </c>
      <c r="D102" s="48" t="s">
        <v>391</v>
      </c>
      <c r="E102" s="48" t="s">
        <v>528</v>
      </c>
      <c r="F102" s="48" t="s">
        <v>770</v>
      </c>
      <c r="G102" s="48" t="s">
        <v>528</v>
      </c>
      <c r="H102" s="48" t="s">
        <v>528</v>
      </c>
      <c r="I102" s="48" t="s">
        <v>770</v>
      </c>
      <c r="J102" s="48" t="s">
        <v>770</v>
      </c>
      <c r="K102" s="48" t="s">
        <v>481</v>
      </c>
      <c r="L102" s="48" t="s">
        <v>773</v>
      </c>
      <c r="M102" s="48"/>
      <c r="N102" s="49">
        <v>281.23</v>
      </c>
      <c r="O102" s="49">
        <v>337.23</v>
      </c>
      <c r="P102" s="49">
        <v>337.23</v>
      </c>
      <c r="Q102" s="595">
        <f t="shared" si="1"/>
        <v>1</v>
      </c>
    </row>
    <row r="103" spans="1:17" ht="21" customHeight="1" hidden="1" outlineLevel="2">
      <c r="A103" s="51" t="s">
        <v>774</v>
      </c>
      <c r="B103" s="48" t="s">
        <v>514</v>
      </c>
      <c r="C103" s="48" t="s">
        <v>386</v>
      </c>
      <c r="D103" s="48" t="s">
        <v>391</v>
      </c>
      <c r="E103" s="48" t="s">
        <v>528</v>
      </c>
      <c r="F103" s="48" t="s">
        <v>770</v>
      </c>
      <c r="G103" s="48" t="s">
        <v>528</v>
      </c>
      <c r="H103" s="48" t="s">
        <v>528</v>
      </c>
      <c r="I103" s="48" t="s">
        <v>770</v>
      </c>
      <c r="J103" s="48" t="s">
        <v>770</v>
      </c>
      <c r="K103" s="48"/>
      <c r="L103" s="48" t="s">
        <v>635</v>
      </c>
      <c r="M103" s="48" t="s">
        <v>636</v>
      </c>
      <c r="N103" s="49">
        <v>216</v>
      </c>
      <c r="O103" s="49">
        <v>216</v>
      </c>
      <c r="P103" s="49"/>
      <c r="Q103" s="595">
        <f t="shared" si="1"/>
        <v>0</v>
      </c>
    </row>
    <row r="104" spans="1:17" ht="18.75" customHeight="1" hidden="1" outlineLevel="2">
      <c r="A104" s="51" t="s">
        <v>775</v>
      </c>
      <c r="B104" s="48" t="s">
        <v>514</v>
      </c>
      <c r="C104" s="48" t="s">
        <v>386</v>
      </c>
      <c r="D104" s="48" t="s">
        <v>391</v>
      </c>
      <c r="E104" s="48" t="s">
        <v>528</v>
      </c>
      <c r="F104" s="48" t="s">
        <v>770</v>
      </c>
      <c r="G104" s="48" t="s">
        <v>528</v>
      </c>
      <c r="H104" s="48" t="s">
        <v>528</v>
      </c>
      <c r="I104" s="48" t="s">
        <v>770</v>
      </c>
      <c r="J104" s="48" t="s">
        <v>770</v>
      </c>
      <c r="K104" s="48"/>
      <c r="L104" s="48" t="s">
        <v>635</v>
      </c>
      <c r="M104" s="48" t="s">
        <v>637</v>
      </c>
      <c r="N104" s="49">
        <v>65.23</v>
      </c>
      <c r="O104" s="49">
        <v>65.23</v>
      </c>
      <c r="P104" s="49"/>
      <c r="Q104" s="595">
        <f t="shared" si="1"/>
        <v>0</v>
      </c>
    </row>
    <row r="105" spans="1:17" ht="57.75" customHeight="1" outlineLevel="2">
      <c r="A105" s="51" t="s">
        <v>802</v>
      </c>
      <c r="B105" s="48" t="s">
        <v>514</v>
      </c>
      <c r="C105" s="48" t="s">
        <v>386</v>
      </c>
      <c r="D105" s="48" t="s">
        <v>250</v>
      </c>
      <c r="E105" s="48" t="s">
        <v>528</v>
      </c>
      <c r="F105" s="48" t="s">
        <v>770</v>
      </c>
      <c r="G105" s="48"/>
      <c r="H105" s="48"/>
      <c r="I105" s="48"/>
      <c r="J105" s="48"/>
      <c r="K105" s="48"/>
      <c r="L105" s="48" t="s">
        <v>369</v>
      </c>
      <c r="M105" s="48"/>
      <c r="N105" s="49">
        <f>N106+N110</f>
        <v>999.11</v>
      </c>
      <c r="O105" s="49">
        <f>O106+O110</f>
        <v>947.62</v>
      </c>
      <c r="P105" s="49">
        <f>P106+P110</f>
        <v>947.62</v>
      </c>
      <c r="Q105" s="595">
        <f t="shared" si="1"/>
        <v>1</v>
      </c>
    </row>
    <row r="106" spans="1:17" ht="95.25" customHeight="1" outlineLevel="2">
      <c r="A106" s="51" t="s">
        <v>800</v>
      </c>
      <c r="B106" s="48" t="s">
        <v>514</v>
      </c>
      <c r="C106" s="48" t="s">
        <v>386</v>
      </c>
      <c r="D106" s="48" t="s">
        <v>250</v>
      </c>
      <c r="E106" s="48" t="s">
        <v>528</v>
      </c>
      <c r="F106" s="48" t="s">
        <v>770</v>
      </c>
      <c r="G106" s="48" t="s">
        <v>528</v>
      </c>
      <c r="H106" s="48" t="s">
        <v>528</v>
      </c>
      <c r="I106" s="48" t="s">
        <v>770</v>
      </c>
      <c r="J106" s="48" t="s">
        <v>770</v>
      </c>
      <c r="K106" s="48" t="s">
        <v>546</v>
      </c>
      <c r="L106" s="48" t="s">
        <v>773</v>
      </c>
      <c r="M106" s="48"/>
      <c r="N106" s="49">
        <f>N107+N109+N108+56</f>
        <v>823.51</v>
      </c>
      <c r="O106" s="49">
        <v>860.54</v>
      </c>
      <c r="P106" s="49">
        <v>860.54</v>
      </c>
      <c r="Q106" s="595">
        <f t="shared" si="1"/>
        <v>1</v>
      </c>
    </row>
    <row r="107" spans="1:17" ht="21" customHeight="1" hidden="1" outlineLevel="2">
      <c r="A107" s="51" t="s">
        <v>774</v>
      </c>
      <c r="B107" s="48" t="s">
        <v>514</v>
      </c>
      <c r="C107" s="48" t="s">
        <v>386</v>
      </c>
      <c r="D107" s="48" t="s">
        <v>250</v>
      </c>
      <c r="E107" s="48"/>
      <c r="F107" s="48"/>
      <c r="G107" s="48"/>
      <c r="H107" s="48"/>
      <c r="I107" s="48"/>
      <c r="J107" s="48"/>
      <c r="K107" s="48"/>
      <c r="L107" s="48" t="s">
        <v>635</v>
      </c>
      <c r="M107" s="48" t="s">
        <v>636</v>
      </c>
      <c r="N107" s="49">
        <v>586.26</v>
      </c>
      <c r="O107" s="49">
        <v>586.26</v>
      </c>
      <c r="P107" s="49"/>
      <c r="Q107" s="595">
        <f t="shared" si="1"/>
        <v>0</v>
      </c>
    </row>
    <row r="108" spans="1:17" ht="21" customHeight="1" hidden="1" outlineLevel="2">
      <c r="A108" s="51" t="s">
        <v>776</v>
      </c>
      <c r="B108" s="48" t="s">
        <v>514</v>
      </c>
      <c r="C108" s="48" t="s">
        <v>386</v>
      </c>
      <c r="D108" s="48" t="s">
        <v>250</v>
      </c>
      <c r="E108" s="48"/>
      <c r="F108" s="48"/>
      <c r="G108" s="48"/>
      <c r="H108" s="48"/>
      <c r="I108" s="48"/>
      <c r="J108" s="48"/>
      <c r="K108" s="48"/>
      <c r="L108" s="48" t="s">
        <v>661</v>
      </c>
      <c r="M108" s="48" t="s">
        <v>660</v>
      </c>
      <c r="N108" s="49">
        <v>4.2</v>
      </c>
      <c r="O108" s="49">
        <v>4.2</v>
      </c>
      <c r="P108" s="49"/>
      <c r="Q108" s="595">
        <f t="shared" si="1"/>
        <v>0</v>
      </c>
    </row>
    <row r="109" spans="1:17" ht="18.75" customHeight="1" hidden="1" outlineLevel="2">
      <c r="A109" s="51" t="s">
        <v>775</v>
      </c>
      <c r="B109" s="48" t="s">
        <v>514</v>
      </c>
      <c r="C109" s="48" t="s">
        <v>386</v>
      </c>
      <c r="D109" s="48" t="s">
        <v>250</v>
      </c>
      <c r="E109" s="48"/>
      <c r="F109" s="48"/>
      <c r="G109" s="48"/>
      <c r="H109" s="48"/>
      <c r="I109" s="48"/>
      <c r="J109" s="48"/>
      <c r="K109" s="48"/>
      <c r="L109" s="48" t="s">
        <v>635</v>
      </c>
      <c r="M109" s="48" t="s">
        <v>637</v>
      </c>
      <c r="N109" s="49">
        <v>177.05</v>
      </c>
      <c r="O109" s="49">
        <v>177.05</v>
      </c>
      <c r="P109" s="49"/>
      <c r="Q109" s="595">
        <f t="shared" si="1"/>
        <v>0</v>
      </c>
    </row>
    <row r="110" spans="1:17" ht="30" outlineLevel="2">
      <c r="A110" s="51" t="s">
        <v>777</v>
      </c>
      <c r="B110" s="48" t="s">
        <v>514</v>
      </c>
      <c r="C110" s="48" t="s">
        <v>386</v>
      </c>
      <c r="D110" s="48" t="s">
        <v>250</v>
      </c>
      <c r="E110" s="48" t="s">
        <v>528</v>
      </c>
      <c r="F110" s="48" t="s">
        <v>770</v>
      </c>
      <c r="G110" s="48" t="s">
        <v>528</v>
      </c>
      <c r="H110" s="48" t="s">
        <v>528</v>
      </c>
      <c r="I110" s="48" t="s">
        <v>770</v>
      </c>
      <c r="J110" s="48" t="s">
        <v>770</v>
      </c>
      <c r="K110" s="48" t="s">
        <v>548</v>
      </c>
      <c r="L110" s="48" t="s">
        <v>778</v>
      </c>
      <c r="M110" s="48"/>
      <c r="N110" s="49">
        <v>175.6</v>
      </c>
      <c r="O110" s="49">
        <v>87.08</v>
      </c>
      <c r="P110" s="49">
        <v>87.08</v>
      </c>
      <c r="Q110" s="595">
        <f t="shared" si="1"/>
        <v>1</v>
      </c>
    </row>
    <row r="111" spans="1:17" ht="16.5" hidden="1" outlineLevel="2">
      <c r="A111" s="51" t="s">
        <v>779</v>
      </c>
      <c r="B111" s="48" t="s">
        <v>514</v>
      </c>
      <c r="C111" s="48" t="s">
        <v>386</v>
      </c>
      <c r="D111" s="48" t="s">
        <v>250</v>
      </c>
      <c r="E111" s="48"/>
      <c r="F111" s="48"/>
      <c r="G111" s="48"/>
      <c r="H111" s="48"/>
      <c r="I111" s="48"/>
      <c r="J111" s="48"/>
      <c r="K111" s="48"/>
      <c r="L111" s="48" t="s">
        <v>639</v>
      </c>
      <c r="M111" s="48" t="s">
        <v>640</v>
      </c>
      <c r="N111" s="49">
        <v>0</v>
      </c>
      <c r="O111" s="49">
        <v>0</v>
      </c>
      <c r="P111" s="49"/>
      <c r="Q111" s="595" t="e">
        <f t="shared" si="1"/>
        <v>#DIV/0!</v>
      </c>
    </row>
    <row r="112" spans="1:17" ht="16.5" hidden="1" outlineLevel="2">
      <c r="A112" s="51" t="s">
        <v>780</v>
      </c>
      <c r="B112" s="48" t="s">
        <v>514</v>
      </c>
      <c r="C112" s="48" t="s">
        <v>386</v>
      </c>
      <c r="D112" s="48" t="s">
        <v>250</v>
      </c>
      <c r="E112" s="48"/>
      <c r="F112" s="48"/>
      <c r="G112" s="48"/>
      <c r="H112" s="48"/>
      <c r="I112" s="48"/>
      <c r="J112" s="48"/>
      <c r="K112" s="48"/>
      <c r="L112" s="48" t="s">
        <v>639</v>
      </c>
      <c r="M112" s="48" t="s">
        <v>641</v>
      </c>
      <c r="N112" s="49">
        <v>15.63</v>
      </c>
      <c r="O112" s="49">
        <v>15.63</v>
      </c>
      <c r="P112" s="49"/>
      <c r="Q112" s="595">
        <f t="shared" si="1"/>
        <v>0</v>
      </c>
    </row>
    <row r="113" spans="1:17" ht="16.5" hidden="1" outlineLevel="2">
      <c r="A113" s="51" t="s">
        <v>781</v>
      </c>
      <c r="B113" s="48" t="s">
        <v>514</v>
      </c>
      <c r="C113" s="48" t="s">
        <v>386</v>
      </c>
      <c r="D113" s="48" t="s">
        <v>250</v>
      </c>
      <c r="E113" s="48"/>
      <c r="F113" s="48"/>
      <c r="G113" s="48"/>
      <c r="H113" s="48"/>
      <c r="I113" s="48"/>
      <c r="J113" s="48"/>
      <c r="K113" s="48"/>
      <c r="L113" s="48" t="s">
        <v>639</v>
      </c>
      <c r="M113" s="48" t="s">
        <v>642</v>
      </c>
      <c r="N113" s="49">
        <v>0</v>
      </c>
      <c r="O113" s="49">
        <v>0</v>
      </c>
      <c r="P113" s="49"/>
      <c r="Q113" s="595" t="e">
        <f t="shared" si="1"/>
        <v>#DIV/0!</v>
      </c>
    </row>
    <row r="114" spans="1:17" ht="16.5" hidden="1" outlineLevel="2">
      <c r="A114" s="51" t="s">
        <v>782</v>
      </c>
      <c r="B114" s="48" t="s">
        <v>514</v>
      </c>
      <c r="C114" s="48" t="s">
        <v>386</v>
      </c>
      <c r="D114" s="48" t="s">
        <v>250</v>
      </c>
      <c r="E114" s="48"/>
      <c r="F114" s="48"/>
      <c r="G114" s="48"/>
      <c r="H114" s="48"/>
      <c r="I114" s="48"/>
      <c r="J114" s="48"/>
      <c r="K114" s="48"/>
      <c r="L114" s="48" t="s">
        <v>639</v>
      </c>
      <c r="M114" s="48" t="s">
        <v>643</v>
      </c>
      <c r="N114" s="49">
        <v>0</v>
      </c>
      <c r="O114" s="49">
        <v>0</v>
      </c>
      <c r="P114" s="49"/>
      <c r="Q114" s="595" t="e">
        <f t="shared" si="1"/>
        <v>#DIV/0!</v>
      </c>
    </row>
    <row r="115" spans="1:17" ht="16.5" hidden="1" outlineLevel="2">
      <c r="A115" s="51" t="s">
        <v>783</v>
      </c>
      <c r="B115" s="48" t="s">
        <v>514</v>
      </c>
      <c r="C115" s="48" t="s">
        <v>386</v>
      </c>
      <c r="D115" s="48" t="s">
        <v>250</v>
      </c>
      <c r="E115" s="48"/>
      <c r="F115" s="48"/>
      <c r="G115" s="48"/>
      <c r="H115" s="48"/>
      <c r="I115" s="48"/>
      <c r="J115" s="48"/>
      <c r="K115" s="48"/>
      <c r="L115" s="48" t="s">
        <v>639</v>
      </c>
      <c r="M115" s="48" t="s">
        <v>644</v>
      </c>
      <c r="N115" s="49">
        <v>21.8</v>
      </c>
      <c r="O115" s="49">
        <v>21.8</v>
      </c>
      <c r="P115" s="49"/>
      <c r="Q115" s="595">
        <f t="shared" si="1"/>
        <v>0</v>
      </c>
    </row>
    <row r="116" spans="1:17" ht="16.5" hidden="1" outlineLevel="2">
      <c r="A116" s="51" t="s">
        <v>784</v>
      </c>
      <c r="B116" s="48" t="s">
        <v>514</v>
      </c>
      <c r="C116" s="48" t="s">
        <v>386</v>
      </c>
      <c r="D116" s="48" t="s">
        <v>250</v>
      </c>
      <c r="E116" s="48"/>
      <c r="F116" s="48"/>
      <c r="G116" s="48"/>
      <c r="H116" s="48"/>
      <c r="I116" s="48"/>
      <c r="J116" s="48"/>
      <c r="K116" s="48"/>
      <c r="L116" s="48" t="s">
        <v>639</v>
      </c>
      <c r="M116" s="48" t="s">
        <v>645</v>
      </c>
      <c r="N116" s="49">
        <v>45</v>
      </c>
      <c r="O116" s="49">
        <v>45</v>
      </c>
      <c r="P116" s="49"/>
      <c r="Q116" s="595">
        <f t="shared" si="1"/>
        <v>0</v>
      </c>
    </row>
    <row r="117" spans="1:17" ht="16.5" hidden="1" outlineLevel="2">
      <c r="A117" s="51" t="s">
        <v>785</v>
      </c>
      <c r="B117" s="48" t="s">
        <v>514</v>
      </c>
      <c r="C117" s="48" t="s">
        <v>386</v>
      </c>
      <c r="D117" s="48" t="s">
        <v>250</v>
      </c>
      <c r="E117" s="48"/>
      <c r="F117" s="48"/>
      <c r="G117" s="48"/>
      <c r="H117" s="48"/>
      <c r="I117" s="48"/>
      <c r="J117" s="48"/>
      <c r="K117" s="48"/>
      <c r="L117" s="48" t="s">
        <v>639</v>
      </c>
      <c r="M117" s="48" t="s">
        <v>646</v>
      </c>
      <c r="N117" s="49">
        <v>0</v>
      </c>
      <c r="O117" s="49">
        <v>0</v>
      </c>
      <c r="P117" s="49"/>
      <c r="Q117" s="595" t="e">
        <f t="shared" si="1"/>
        <v>#DIV/0!</v>
      </c>
    </row>
    <row r="118" spans="1:17" ht="16.5" hidden="1" outlineLevel="2">
      <c r="A118" s="51" t="s">
        <v>786</v>
      </c>
      <c r="B118" s="48" t="s">
        <v>514</v>
      </c>
      <c r="C118" s="48" t="s">
        <v>386</v>
      </c>
      <c r="D118" s="48" t="s">
        <v>250</v>
      </c>
      <c r="E118" s="48"/>
      <c r="F118" s="48"/>
      <c r="G118" s="48"/>
      <c r="H118" s="48"/>
      <c r="I118" s="48"/>
      <c r="J118" s="48"/>
      <c r="K118" s="48"/>
      <c r="L118" s="48" t="s">
        <v>639</v>
      </c>
      <c r="M118" s="48" t="s">
        <v>647</v>
      </c>
      <c r="N118" s="49">
        <v>56.14</v>
      </c>
      <c r="O118" s="49">
        <v>56.14</v>
      </c>
      <c r="P118" s="49"/>
      <c r="Q118" s="595">
        <f t="shared" si="1"/>
        <v>0</v>
      </c>
    </row>
    <row r="119" spans="1:17" ht="16.5" hidden="1" outlineLevel="2">
      <c r="A119" s="51" t="s">
        <v>787</v>
      </c>
      <c r="B119" s="48" t="s">
        <v>514</v>
      </c>
      <c r="C119" s="48" t="s">
        <v>386</v>
      </c>
      <c r="D119" s="48" t="s">
        <v>250</v>
      </c>
      <c r="E119" s="48"/>
      <c r="F119" s="48"/>
      <c r="G119" s="48"/>
      <c r="H119" s="48"/>
      <c r="I119" s="48"/>
      <c r="J119" s="48"/>
      <c r="K119" s="48"/>
      <c r="L119" s="48" t="s">
        <v>639</v>
      </c>
      <c r="M119" s="48" t="s">
        <v>648</v>
      </c>
      <c r="N119" s="49">
        <v>23.6</v>
      </c>
      <c r="O119" s="49">
        <v>23.6</v>
      </c>
      <c r="P119" s="49"/>
      <c r="Q119" s="595">
        <f t="shared" si="1"/>
        <v>0</v>
      </c>
    </row>
    <row r="120" spans="1:18" ht="84" customHeight="1" outlineLevel="1" collapsed="1">
      <c r="A120" s="349" t="s">
        <v>803</v>
      </c>
      <c r="B120" s="350" t="s">
        <v>514</v>
      </c>
      <c r="C120" s="350"/>
      <c r="D120" s="350"/>
      <c r="E120" s="350"/>
      <c r="F120" s="350"/>
      <c r="G120" s="350"/>
      <c r="H120" s="350"/>
      <c r="I120" s="350"/>
      <c r="J120" s="350"/>
      <c r="K120" s="350"/>
      <c r="L120" s="350"/>
      <c r="M120" s="350"/>
      <c r="N120" s="351">
        <f>N121+N139+N153</f>
        <v>80774.85</v>
      </c>
      <c r="O120" s="564">
        <f>O121+O139+O153+O151+O152+O136+O137</f>
        <v>104275.58</v>
      </c>
      <c r="P120" s="564">
        <f>P121+P139+P153+P151+P152+P136+P137</f>
        <v>92803.84100000001</v>
      </c>
      <c r="Q120" s="595">
        <f t="shared" si="1"/>
        <v>0.8899863323704362</v>
      </c>
      <c r="R120" s="80">
        <f>O125+O126+O141+O144+O146+O148+O150+O151+O152+O153</f>
        <v>104153.82999999999</v>
      </c>
    </row>
    <row r="121" spans="1:17" s="370" customFormat="1" ht="60" customHeight="1" outlineLevel="2">
      <c r="A121" s="352" t="s">
        <v>799</v>
      </c>
      <c r="B121" s="353" t="s">
        <v>514</v>
      </c>
      <c r="C121" s="353" t="s">
        <v>386</v>
      </c>
      <c r="D121" s="353" t="s">
        <v>392</v>
      </c>
      <c r="E121" s="353" t="s">
        <v>528</v>
      </c>
      <c r="F121" s="353" t="s">
        <v>770</v>
      </c>
      <c r="G121" s="353"/>
      <c r="H121" s="353"/>
      <c r="I121" s="353"/>
      <c r="J121" s="353"/>
      <c r="K121" s="353"/>
      <c r="L121" s="353" t="s">
        <v>369</v>
      </c>
      <c r="M121" s="354"/>
      <c r="N121" s="355">
        <f>N122</f>
        <v>9486.89</v>
      </c>
      <c r="O121" s="355">
        <f>O122</f>
        <v>10848.83</v>
      </c>
      <c r="P121" s="355">
        <f>P122</f>
        <v>10848.83</v>
      </c>
      <c r="Q121" s="595">
        <f t="shared" si="1"/>
        <v>1</v>
      </c>
    </row>
    <row r="122" spans="1:18" ht="70.5" customHeight="1" outlineLevel="2">
      <c r="A122" s="51" t="s">
        <v>804</v>
      </c>
      <c r="B122" s="48" t="s">
        <v>514</v>
      </c>
      <c r="C122" s="48" t="s">
        <v>386</v>
      </c>
      <c r="D122" s="48" t="s">
        <v>392</v>
      </c>
      <c r="E122" s="48" t="s">
        <v>528</v>
      </c>
      <c r="F122" s="48" t="s">
        <v>770</v>
      </c>
      <c r="G122" s="48" t="s">
        <v>479</v>
      </c>
      <c r="H122" s="48" t="s">
        <v>528</v>
      </c>
      <c r="I122" s="48" t="s">
        <v>770</v>
      </c>
      <c r="J122" s="48" t="s">
        <v>770</v>
      </c>
      <c r="K122" s="48" t="s">
        <v>528</v>
      </c>
      <c r="L122" s="48" t="s">
        <v>369</v>
      </c>
      <c r="M122" s="48"/>
      <c r="N122" s="49">
        <f>N125+N126</f>
        <v>9486.89</v>
      </c>
      <c r="O122" s="49">
        <f>O125+O126</f>
        <v>10848.83</v>
      </c>
      <c r="P122" s="49">
        <f>P125+P126</f>
        <v>10848.83</v>
      </c>
      <c r="Q122" s="595">
        <f t="shared" si="1"/>
        <v>1</v>
      </c>
      <c r="R122" s="80">
        <f>P125+P126</f>
        <v>10848.83</v>
      </c>
    </row>
    <row r="123" spans="1:17" ht="21" customHeight="1" hidden="1" outlineLevel="2">
      <c r="A123" s="51" t="s">
        <v>774</v>
      </c>
      <c r="B123" s="48" t="s">
        <v>514</v>
      </c>
      <c r="C123" s="48" t="s">
        <v>386</v>
      </c>
      <c r="D123" s="48" t="s">
        <v>392</v>
      </c>
      <c r="E123" s="48"/>
      <c r="F123" s="48"/>
      <c r="G123" s="48"/>
      <c r="H123" s="48"/>
      <c r="I123" s="48"/>
      <c r="J123" s="48"/>
      <c r="K123" s="48"/>
      <c r="L123" s="48" t="s">
        <v>635</v>
      </c>
      <c r="M123" s="48" t="s">
        <v>636</v>
      </c>
      <c r="N123" s="49">
        <v>4837.26</v>
      </c>
      <c r="O123" s="49">
        <v>4837.26</v>
      </c>
      <c r="P123" s="49"/>
      <c r="Q123" s="595">
        <f t="shared" si="1"/>
        <v>0</v>
      </c>
    </row>
    <row r="124" spans="1:17" ht="18.75" customHeight="1" hidden="1" outlineLevel="2">
      <c r="A124" s="51" t="s">
        <v>775</v>
      </c>
      <c r="B124" s="48" t="s">
        <v>514</v>
      </c>
      <c r="C124" s="48" t="s">
        <v>386</v>
      </c>
      <c r="D124" s="48" t="s">
        <v>392</v>
      </c>
      <c r="E124" s="48"/>
      <c r="F124" s="48"/>
      <c r="G124" s="48"/>
      <c r="H124" s="48"/>
      <c r="I124" s="48"/>
      <c r="J124" s="48"/>
      <c r="K124" s="48"/>
      <c r="L124" s="48" t="s">
        <v>635</v>
      </c>
      <c r="M124" s="48" t="s">
        <v>637</v>
      </c>
      <c r="N124" s="49">
        <v>1460.85</v>
      </c>
      <c r="O124" s="49">
        <v>1460.85</v>
      </c>
      <c r="P124" s="49"/>
      <c r="Q124" s="595">
        <f t="shared" si="1"/>
        <v>0</v>
      </c>
    </row>
    <row r="125" spans="1:17" ht="96" customHeight="1" outlineLevel="2">
      <c r="A125" s="51" t="s">
        <v>800</v>
      </c>
      <c r="B125" s="48" t="s">
        <v>514</v>
      </c>
      <c r="C125" s="48" t="s">
        <v>386</v>
      </c>
      <c r="D125" s="48" t="s">
        <v>392</v>
      </c>
      <c r="E125" s="48" t="s">
        <v>528</v>
      </c>
      <c r="F125" s="48" t="s">
        <v>770</v>
      </c>
      <c r="G125" s="48" t="s">
        <v>479</v>
      </c>
      <c r="H125" s="48" t="s">
        <v>528</v>
      </c>
      <c r="I125" s="48" t="s">
        <v>770</v>
      </c>
      <c r="J125" s="48" t="s">
        <v>770</v>
      </c>
      <c r="K125" s="48" t="s">
        <v>528</v>
      </c>
      <c r="L125" s="48" t="s">
        <v>773</v>
      </c>
      <c r="M125" s="48"/>
      <c r="N125" s="49">
        <v>7205.17</v>
      </c>
      <c r="O125" s="49">
        <v>8104.88</v>
      </c>
      <c r="P125" s="49">
        <v>8104.88</v>
      </c>
      <c r="Q125" s="595">
        <f t="shared" si="1"/>
        <v>1</v>
      </c>
    </row>
    <row r="126" spans="1:17" ht="30" outlineLevel="2">
      <c r="A126" s="51" t="s">
        <v>777</v>
      </c>
      <c r="B126" s="48" t="s">
        <v>514</v>
      </c>
      <c r="C126" s="48" t="s">
        <v>386</v>
      </c>
      <c r="D126" s="48" t="s">
        <v>392</v>
      </c>
      <c r="E126" s="48" t="s">
        <v>528</v>
      </c>
      <c r="F126" s="48" t="s">
        <v>770</v>
      </c>
      <c r="G126" s="48" t="s">
        <v>479</v>
      </c>
      <c r="H126" s="48" t="s">
        <v>528</v>
      </c>
      <c r="I126" s="48" t="s">
        <v>770</v>
      </c>
      <c r="J126" s="48" t="s">
        <v>770</v>
      </c>
      <c r="K126" s="48" t="s">
        <v>478</v>
      </c>
      <c r="L126" s="48" t="s">
        <v>778</v>
      </c>
      <c r="M126" s="48"/>
      <c r="N126" s="49">
        <v>2281.72</v>
      </c>
      <c r="O126" s="49">
        <v>2743.95</v>
      </c>
      <c r="P126" s="49">
        <v>2743.95</v>
      </c>
      <c r="Q126" s="595">
        <f t="shared" si="1"/>
        <v>1</v>
      </c>
    </row>
    <row r="127" spans="1:17" ht="16.5" hidden="1" outlineLevel="2">
      <c r="A127" s="51" t="s">
        <v>779</v>
      </c>
      <c r="B127" s="48" t="s">
        <v>514</v>
      </c>
      <c r="C127" s="48" t="s">
        <v>386</v>
      </c>
      <c r="D127" s="48" t="s">
        <v>392</v>
      </c>
      <c r="E127" s="48"/>
      <c r="F127" s="48"/>
      <c r="G127" s="48"/>
      <c r="H127" s="48"/>
      <c r="I127" s="48"/>
      <c r="J127" s="48"/>
      <c r="K127" s="48"/>
      <c r="L127" s="48" t="s">
        <v>639</v>
      </c>
      <c r="M127" s="48" t="s">
        <v>640</v>
      </c>
      <c r="N127" s="49">
        <v>104.8</v>
      </c>
      <c r="O127" s="49">
        <v>104.8</v>
      </c>
      <c r="P127" s="49"/>
      <c r="Q127" s="595">
        <f t="shared" si="1"/>
        <v>0</v>
      </c>
    </row>
    <row r="128" spans="1:17" ht="16.5" hidden="1" outlineLevel="2">
      <c r="A128" s="51" t="s">
        <v>780</v>
      </c>
      <c r="B128" s="48" t="s">
        <v>514</v>
      </c>
      <c r="C128" s="48" t="s">
        <v>386</v>
      </c>
      <c r="D128" s="48" t="s">
        <v>392</v>
      </c>
      <c r="E128" s="48"/>
      <c r="F128" s="48"/>
      <c r="G128" s="48"/>
      <c r="H128" s="48"/>
      <c r="I128" s="48"/>
      <c r="J128" s="48"/>
      <c r="K128" s="48"/>
      <c r="L128" s="48" t="s">
        <v>639</v>
      </c>
      <c r="M128" s="48" t="s">
        <v>641</v>
      </c>
      <c r="N128" s="49">
        <v>12.14</v>
      </c>
      <c r="O128" s="49">
        <v>12.14</v>
      </c>
      <c r="P128" s="49"/>
      <c r="Q128" s="595">
        <f t="shared" si="1"/>
        <v>0</v>
      </c>
    </row>
    <row r="129" spans="1:17" ht="16.5" hidden="1" outlineLevel="2">
      <c r="A129" s="51" t="s">
        <v>781</v>
      </c>
      <c r="B129" s="48" t="s">
        <v>514</v>
      </c>
      <c r="C129" s="48" t="s">
        <v>386</v>
      </c>
      <c r="D129" s="48" t="s">
        <v>392</v>
      </c>
      <c r="E129" s="48"/>
      <c r="F129" s="48"/>
      <c r="G129" s="48"/>
      <c r="H129" s="48"/>
      <c r="I129" s="48"/>
      <c r="J129" s="48"/>
      <c r="K129" s="48"/>
      <c r="L129" s="48" t="s">
        <v>639</v>
      </c>
      <c r="M129" s="48" t="s">
        <v>642</v>
      </c>
      <c r="N129" s="49">
        <v>35.73</v>
      </c>
      <c r="O129" s="49">
        <v>35.73</v>
      </c>
      <c r="P129" s="49"/>
      <c r="Q129" s="595">
        <f t="shared" si="1"/>
        <v>0</v>
      </c>
    </row>
    <row r="130" spans="1:17" ht="16.5" hidden="1" outlineLevel="2">
      <c r="A130" s="51" t="s">
        <v>782</v>
      </c>
      <c r="B130" s="48" t="s">
        <v>514</v>
      </c>
      <c r="C130" s="48" t="s">
        <v>386</v>
      </c>
      <c r="D130" s="48" t="s">
        <v>392</v>
      </c>
      <c r="E130" s="48"/>
      <c r="F130" s="48"/>
      <c r="G130" s="48"/>
      <c r="H130" s="48"/>
      <c r="I130" s="48"/>
      <c r="J130" s="48"/>
      <c r="K130" s="48"/>
      <c r="L130" s="48" t="s">
        <v>639</v>
      </c>
      <c r="M130" s="48" t="s">
        <v>643</v>
      </c>
      <c r="N130" s="49">
        <v>756</v>
      </c>
      <c r="O130" s="49">
        <v>756</v>
      </c>
      <c r="P130" s="49"/>
      <c r="Q130" s="595">
        <f t="shared" si="1"/>
        <v>0</v>
      </c>
    </row>
    <row r="131" spans="1:17" ht="16.5" hidden="1" outlineLevel="2">
      <c r="A131" s="51" t="s">
        <v>783</v>
      </c>
      <c r="B131" s="48" t="s">
        <v>514</v>
      </c>
      <c r="C131" s="48" t="s">
        <v>386</v>
      </c>
      <c r="D131" s="48" t="s">
        <v>392</v>
      </c>
      <c r="E131" s="48"/>
      <c r="F131" s="48"/>
      <c r="G131" s="48"/>
      <c r="H131" s="48"/>
      <c r="I131" s="48"/>
      <c r="J131" s="48"/>
      <c r="K131" s="48"/>
      <c r="L131" s="48" t="s">
        <v>639</v>
      </c>
      <c r="M131" s="48" t="s">
        <v>644</v>
      </c>
      <c r="N131" s="49">
        <v>190.8</v>
      </c>
      <c r="O131" s="49">
        <v>190.8</v>
      </c>
      <c r="P131" s="49"/>
      <c r="Q131" s="595">
        <f t="shared" si="1"/>
        <v>0</v>
      </c>
    </row>
    <row r="132" spans="1:17" ht="16.5" hidden="1" outlineLevel="2">
      <c r="A132" s="51" t="s">
        <v>784</v>
      </c>
      <c r="B132" s="48" t="s">
        <v>514</v>
      </c>
      <c r="C132" s="48" t="s">
        <v>386</v>
      </c>
      <c r="D132" s="48" t="s">
        <v>392</v>
      </c>
      <c r="E132" s="48"/>
      <c r="F132" s="48"/>
      <c r="G132" s="48"/>
      <c r="H132" s="48"/>
      <c r="I132" s="48"/>
      <c r="J132" s="48"/>
      <c r="K132" s="48"/>
      <c r="L132" s="48" t="s">
        <v>639</v>
      </c>
      <c r="M132" s="48" t="s">
        <v>645</v>
      </c>
      <c r="N132" s="49">
        <v>3</v>
      </c>
      <c r="O132" s="49">
        <v>3</v>
      </c>
      <c r="P132" s="49"/>
      <c r="Q132" s="595">
        <f t="shared" si="1"/>
        <v>0</v>
      </c>
    </row>
    <row r="133" spans="1:17" ht="16.5" hidden="1" outlineLevel="2">
      <c r="A133" s="51" t="s">
        <v>785</v>
      </c>
      <c r="B133" s="48" t="s">
        <v>514</v>
      </c>
      <c r="C133" s="48" t="s">
        <v>386</v>
      </c>
      <c r="D133" s="48" t="s">
        <v>392</v>
      </c>
      <c r="E133" s="48"/>
      <c r="F133" s="48"/>
      <c r="G133" s="48"/>
      <c r="H133" s="48"/>
      <c r="I133" s="48"/>
      <c r="J133" s="48"/>
      <c r="K133" s="48"/>
      <c r="L133" s="48" t="s">
        <v>639</v>
      </c>
      <c r="M133" s="48" t="s">
        <v>646</v>
      </c>
      <c r="N133" s="49">
        <v>516</v>
      </c>
      <c r="O133" s="49">
        <v>516</v>
      </c>
      <c r="P133" s="49"/>
      <c r="Q133" s="595">
        <f t="shared" si="1"/>
        <v>0</v>
      </c>
    </row>
    <row r="134" spans="1:17" ht="16.5" hidden="1" outlineLevel="2">
      <c r="A134" s="51" t="s">
        <v>786</v>
      </c>
      <c r="B134" s="48" t="s">
        <v>514</v>
      </c>
      <c r="C134" s="48" t="s">
        <v>386</v>
      </c>
      <c r="D134" s="48" t="s">
        <v>392</v>
      </c>
      <c r="E134" s="48"/>
      <c r="F134" s="48"/>
      <c r="G134" s="48"/>
      <c r="H134" s="48"/>
      <c r="I134" s="48"/>
      <c r="J134" s="48"/>
      <c r="K134" s="48"/>
      <c r="L134" s="48" t="s">
        <v>639</v>
      </c>
      <c r="M134" s="48" t="s">
        <v>647</v>
      </c>
      <c r="N134" s="49">
        <v>250</v>
      </c>
      <c r="O134" s="49">
        <v>250</v>
      </c>
      <c r="P134" s="49"/>
      <c r="Q134" s="595">
        <f t="shared" si="1"/>
        <v>0</v>
      </c>
    </row>
    <row r="135" spans="1:17" ht="16.5" hidden="1" outlineLevel="2">
      <c r="A135" s="51" t="s">
        <v>787</v>
      </c>
      <c r="B135" s="48" t="s">
        <v>514</v>
      </c>
      <c r="C135" s="48" t="s">
        <v>386</v>
      </c>
      <c r="D135" s="48" t="s">
        <v>392</v>
      </c>
      <c r="E135" s="48"/>
      <c r="F135" s="48"/>
      <c r="G135" s="48"/>
      <c r="H135" s="48"/>
      <c r="I135" s="48"/>
      <c r="J135" s="48"/>
      <c r="K135" s="48"/>
      <c r="L135" s="48" t="s">
        <v>639</v>
      </c>
      <c r="M135" s="48" t="s">
        <v>648</v>
      </c>
      <c r="N135" s="49">
        <v>470</v>
      </c>
      <c r="O135" s="49">
        <v>470</v>
      </c>
      <c r="P135" s="49"/>
      <c r="Q135" s="595">
        <f t="shared" si="1"/>
        <v>0</v>
      </c>
    </row>
    <row r="136" spans="1:17" ht="54" customHeight="1" outlineLevel="2">
      <c r="A136" s="51" t="s">
        <v>792</v>
      </c>
      <c r="B136" s="48" t="s">
        <v>514</v>
      </c>
      <c r="C136" s="48" t="s">
        <v>386</v>
      </c>
      <c r="D136" s="48" t="s">
        <v>392</v>
      </c>
      <c r="E136" s="48" t="s">
        <v>528</v>
      </c>
      <c r="F136" s="48" t="s">
        <v>480</v>
      </c>
      <c r="G136" s="48" t="s">
        <v>770</v>
      </c>
      <c r="H136" s="48" t="s">
        <v>528</v>
      </c>
      <c r="I136" s="48" t="s">
        <v>480</v>
      </c>
      <c r="J136" s="48" t="s">
        <v>770</v>
      </c>
      <c r="K136" s="48" t="s">
        <v>770</v>
      </c>
      <c r="L136" s="48" t="s">
        <v>778</v>
      </c>
      <c r="M136" s="48"/>
      <c r="N136" s="49"/>
      <c r="O136" s="49">
        <v>81.95</v>
      </c>
      <c r="P136" s="49">
        <v>81.95</v>
      </c>
      <c r="Q136" s="595">
        <f t="shared" si="1"/>
        <v>1</v>
      </c>
    </row>
    <row r="137" spans="1:17" ht="57" customHeight="1" outlineLevel="2">
      <c r="A137" s="51" t="s">
        <v>794</v>
      </c>
      <c r="B137" s="48" t="s">
        <v>514</v>
      </c>
      <c r="C137" s="48" t="s">
        <v>391</v>
      </c>
      <c r="D137" s="48" t="s">
        <v>385</v>
      </c>
      <c r="E137" s="48" t="s">
        <v>770</v>
      </c>
      <c r="F137" s="48" t="s">
        <v>546</v>
      </c>
      <c r="G137" s="48" t="s">
        <v>478</v>
      </c>
      <c r="H137" s="48" t="s">
        <v>770</v>
      </c>
      <c r="I137" s="48" t="s">
        <v>546</v>
      </c>
      <c r="J137" s="48" t="s">
        <v>770</v>
      </c>
      <c r="K137" s="48" t="s">
        <v>478</v>
      </c>
      <c r="L137" s="48" t="s">
        <v>778</v>
      </c>
      <c r="M137" s="48"/>
      <c r="N137" s="49"/>
      <c r="O137" s="49">
        <v>39.8</v>
      </c>
      <c r="P137" s="49">
        <v>39.8</v>
      </c>
      <c r="Q137" s="595">
        <f t="shared" si="1"/>
        <v>1</v>
      </c>
    </row>
    <row r="138" spans="1:17" ht="16.5" outlineLevel="2">
      <c r="A138" s="51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9"/>
      <c r="O138" s="49"/>
      <c r="P138" s="49"/>
      <c r="Q138" s="595" t="e">
        <f t="shared" si="1"/>
        <v>#DIV/0!</v>
      </c>
    </row>
    <row r="139" spans="1:17" s="79" customFormat="1" ht="31.5" customHeight="1" outlineLevel="2">
      <c r="A139" s="352" t="s">
        <v>963</v>
      </c>
      <c r="B139" s="353" t="s">
        <v>514</v>
      </c>
      <c r="C139" s="353"/>
      <c r="D139" s="353"/>
      <c r="E139" s="353"/>
      <c r="F139" s="353"/>
      <c r="G139" s="353"/>
      <c r="H139" s="353"/>
      <c r="I139" s="353"/>
      <c r="J139" s="353"/>
      <c r="K139" s="353"/>
      <c r="L139" s="353"/>
      <c r="M139" s="353"/>
      <c r="N139" s="359">
        <f>N140+N145+N147+N149+N143</f>
        <v>65287.96</v>
      </c>
      <c r="O139" s="359">
        <f>O140+O145+O147+O149+O143</f>
        <v>54230.68</v>
      </c>
      <c r="P139" s="359">
        <f>P140+P145+P147+P149+P143</f>
        <v>42758.94</v>
      </c>
      <c r="Q139" s="595">
        <f t="shared" si="1"/>
        <v>0.7884640207351263</v>
      </c>
    </row>
    <row r="140" spans="1:17" s="79" customFormat="1" ht="31.5" customHeight="1" outlineLevel="2">
      <c r="A140" s="51" t="s">
        <v>964</v>
      </c>
      <c r="B140" s="69" t="s">
        <v>514</v>
      </c>
      <c r="C140" s="48" t="s">
        <v>387</v>
      </c>
      <c r="D140" s="48" t="s">
        <v>385</v>
      </c>
      <c r="E140" s="48" t="s">
        <v>770</v>
      </c>
      <c r="F140" s="48" t="s">
        <v>480</v>
      </c>
      <c r="G140" s="48" t="s">
        <v>478</v>
      </c>
      <c r="H140" s="48" t="s">
        <v>481</v>
      </c>
      <c r="I140" s="48" t="s">
        <v>770</v>
      </c>
      <c r="J140" s="48" t="s">
        <v>528</v>
      </c>
      <c r="K140" s="48" t="s">
        <v>546</v>
      </c>
      <c r="L140" s="48" t="s">
        <v>369</v>
      </c>
      <c r="M140" s="353"/>
      <c r="N140" s="359">
        <f>N141</f>
        <v>10487.1</v>
      </c>
      <c r="O140" s="359">
        <f>O141</f>
        <v>12504.2</v>
      </c>
      <c r="P140" s="359">
        <f>P141</f>
        <v>5453.25</v>
      </c>
      <c r="Q140" s="595">
        <f aca="true" t="shared" si="2" ref="Q140:Q203">P140/O140</f>
        <v>0.43611346587546584</v>
      </c>
    </row>
    <row r="141" spans="1:17" ht="34.5" customHeight="1" outlineLevel="2">
      <c r="A141" s="51" t="s">
        <v>777</v>
      </c>
      <c r="B141" s="69" t="s">
        <v>514</v>
      </c>
      <c r="C141" s="48" t="s">
        <v>387</v>
      </c>
      <c r="D141" s="48" t="s">
        <v>385</v>
      </c>
      <c r="E141" s="48" t="s">
        <v>770</v>
      </c>
      <c r="F141" s="48" t="s">
        <v>480</v>
      </c>
      <c r="G141" s="48" t="s">
        <v>478</v>
      </c>
      <c r="H141" s="48" t="s">
        <v>481</v>
      </c>
      <c r="I141" s="48" t="s">
        <v>770</v>
      </c>
      <c r="J141" s="48" t="s">
        <v>528</v>
      </c>
      <c r="K141" s="48" t="s">
        <v>546</v>
      </c>
      <c r="L141" s="48" t="s">
        <v>778</v>
      </c>
      <c r="M141" s="48"/>
      <c r="N141" s="371">
        <v>10487.1</v>
      </c>
      <c r="O141" s="371">
        <v>12504.2</v>
      </c>
      <c r="P141" s="371">
        <v>5453.25</v>
      </c>
      <c r="Q141" s="595">
        <f t="shared" si="2"/>
        <v>0.43611346587546584</v>
      </c>
    </row>
    <row r="142" spans="1:17" ht="16.5" hidden="1" outlineLevel="2">
      <c r="A142" s="51" t="s">
        <v>786</v>
      </c>
      <c r="B142" s="69" t="s">
        <v>514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 t="s">
        <v>639</v>
      </c>
      <c r="M142" s="48" t="s">
        <v>647</v>
      </c>
      <c r="N142" s="371">
        <v>13940.7</v>
      </c>
      <c r="O142" s="371">
        <v>13940.7</v>
      </c>
      <c r="P142" s="371"/>
      <c r="Q142" s="595">
        <f t="shared" si="2"/>
        <v>0</v>
      </c>
    </row>
    <row r="143" spans="1:17" ht="31.5" customHeight="1" outlineLevel="2">
      <c r="A143" s="51" t="s">
        <v>924</v>
      </c>
      <c r="B143" s="69" t="s">
        <v>514</v>
      </c>
      <c r="C143" s="48" t="s">
        <v>387</v>
      </c>
      <c r="D143" s="48" t="s">
        <v>385</v>
      </c>
      <c r="E143" s="48" t="s">
        <v>770</v>
      </c>
      <c r="F143" s="48" t="s">
        <v>548</v>
      </c>
      <c r="G143" s="48" t="s">
        <v>479</v>
      </c>
      <c r="H143" s="48" t="s">
        <v>770</v>
      </c>
      <c r="I143" s="48" t="s">
        <v>548</v>
      </c>
      <c r="J143" s="48" t="s">
        <v>770</v>
      </c>
      <c r="K143" s="48" t="s">
        <v>479</v>
      </c>
      <c r="L143" s="48" t="s">
        <v>810</v>
      </c>
      <c r="M143" s="48"/>
      <c r="N143" s="372">
        <f>N144</f>
        <v>17645.82</v>
      </c>
      <c r="O143" s="372">
        <f>O144</f>
        <v>12169.24</v>
      </c>
      <c r="P143" s="372">
        <f>P144</f>
        <v>9821.75</v>
      </c>
      <c r="Q143" s="595">
        <f t="shared" si="2"/>
        <v>0.8070964168674462</v>
      </c>
    </row>
    <row r="144" spans="1:17" ht="51.75" customHeight="1" outlineLevel="2">
      <c r="A144" s="51" t="s">
        <v>777</v>
      </c>
      <c r="B144" s="69" t="s">
        <v>514</v>
      </c>
      <c r="C144" s="48" t="s">
        <v>387</v>
      </c>
      <c r="D144" s="48" t="s">
        <v>385</v>
      </c>
      <c r="E144" s="48" t="s">
        <v>770</v>
      </c>
      <c r="F144" s="48" t="s">
        <v>548</v>
      </c>
      <c r="G144" s="48" t="s">
        <v>479</v>
      </c>
      <c r="H144" s="48" t="s">
        <v>770</v>
      </c>
      <c r="I144" s="48" t="s">
        <v>548</v>
      </c>
      <c r="J144" s="48" t="s">
        <v>770</v>
      </c>
      <c r="K144" s="48" t="s">
        <v>479</v>
      </c>
      <c r="L144" s="48" t="s">
        <v>778</v>
      </c>
      <c r="M144" s="48"/>
      <c r="N144" s="371">
        <f>3524.1+11866.64+2255.08</f>
        <v>17645.82</v>
      </c>
      <c r="O144" s="371">
        <v>12169.24</v>
      </c>
      <c r="P144" s="371">
        <v>9821.75</v>
      </c>
      <c r="Q144" s="595">
        <f t="shared" si="2"/>
        <v>0.8070964168674462</v>
      </c>
    </row>
    <row r="145" spans="1:17" ht="39.75" customHeight="1" outlineLevel="2">
      <c r="A145" s="360" t="s">
        <v>1000</v>
      </c>
      <c r="B145" s="69" t="s">
        <v>514</v>
      </c>
      <c r="C145" s="48" t="s">
        <v>390</v>
      </c>
      <c r="D145" s="48" t="s">
        <v>390</v>
      </c>
      <c r="E145" s="48" t="s">
        <v>770</v>
      </c>
      <c r="F145" s="48" t="s">
        <v>548</v>
      </c>
      <c r="G145" s="48" t="s">
        <v>528</v>
      </c>
      <c r="H145" s="48" t="s">
        <v>770</v>
      </c>
      <c r="I145" s="48" t="s">
        <v>548</v>
      </c>
      <c r="J145" s="48" t="s">
        <v>770</v>
      </c>
      <c r="K145" s="48" t="s">
        <v>528</v>
      </c>
      <c r="L145" s="48" t="s">
        <v>369</v>
      </c>
      <c r="M145" s="48"/>
      <c r="N145" s="372">
        <f>N146</f>
        <v>1400</v>
      </c>
      <c r="O145" s="372">
        <v>998.08</v>
      </c>
      <c r="P145" s="372">
        <v>998.08</v>
      </c>
      <c r="Q145" s="595">
        <f t="shared" si="2"/>
        <v>1</v>
      </c>
    </row>
    <row r="146" spans="1:17" ht="36" customHeight="1" outlineLevel="2">
      <c r="A146" s="51" t="s">
        <v>777</v>
      </c>
      <c r="B146" s="69" t="s">
        <v>514</v>
      </c>
      <c r="C146" s="48" t="s">
        <v>390</v>
      </c>
      <c r="D146" s="48" t="s">
        <v>390</v>
      </c>
      <c r="E146" s="48" t="s">
        <v>770</v>
      </c>
      <c r="F146" s="48" t="s">
        <v>548</v>
      </c>
      <c r="G146" s="48" t="s">
        <v>528</v>
      </c>
      <c r="H146" s="48" t="s">
        <v>770</v>
      </c>
      <c r="I146" s="48" t="s">
        <v>548</v>
      </c>
      <c r="J146" s="48" t="s">
        <v>770</v>
      </c>
      <c r="K146" s="48" t="s">
        <v>528</v>
      </c>
      <c r="L146" s="48" t="s">
        <v>778</v>
      </c>
      <c r="M146" s="48"/>
      <c r="N146" s="373">
        <v>1400</v>
      </c>
      <c r="O146" s="574">
        <v>998.08</v>
      </c>
      <c r="P146" s="574">
        <v>998.08</v>
      </c>
      <c r="Q146" s="595">
        <f t="shared" si="2"/>
        <v>1</v>
      </c>
    </row>
    <row r="147" spans="1:17" ht="36" customHeight="1" outlineLevel="2">
      <c r="A147" s="360" t="s">
        <v>1001</v>
      </c>
      <c r="B147" s="69" t="s">
        <v>514</v>
      </c>
      <c r="C147" s="48" t="s">
        <v>390</v>
      </c>
      <c r="D147" s="48" t="s">
        <v>390</v>
      </c>
      <c r="E147" s="48" t="s">
        <v>770</v>
      </c>
      <c r="F147" s="48" t="s">
        <v>548</v>
      </c>
      <c r="G147" s="48" t="s">
        <v>478</v>
      </c>
      <c r="H147" s="48" t="s">
        <v>770</v>
      </c>
      <c r="I147" s="48" t="s">
        <v>548</v>
      </c>
      <c r="J147" s="48" t="s">
        <v>770</v>
      </c>
      <c r="K147" s="48" t="s">
        <v>478</v>
      </c>
      <c r="L147" s="48" t="s">
        <v>369</v>
      </c>
      <c r="M147" s="48"/>
      <c r="N147" s="374">
        <f>N148</f>
        <v>14755.04</v>
      </c>
      <c r="O147" s="575">
        <f>O148</f>
        <v>6076.22</v>
      </c>
      <c r="P147" s="575">
        <f>P148</f>
        <v>6076.22</v>
      </c>
      <c r="Q147" s="595">
        <f t="shared" si="2"/>
        <v>1</v>
      </c>
    </row>
    <row r="148" spans="1:19" ht="36" customHeight="1" outlineLevel="2">
      <c r="A148" s="51" t="s">
        <v>777</v>
      </c>
      <c r="B148" s="69" t="s">
        <v>514</v>
      </c>
      <c r="C148" s="48" t="s">
        <v>390</v>
      </c>
      <c r="D148" s="48" t="s">
        <v>390</v>
      </c>
      <c r="E148" s="48" t="s">
        <v>770</v>
      </c>
      <c r="F148" s="48" t="s">
        <v>548</v>
      </c>
      <c r="G148" s="48" t="s">
        <v>478</v>
      </c>
      <c r="H148" s="48" t="s">
        <v>770</v>
      </c>
      <c r="I148" s="48" t="s">
        <v>548</v>
      </c>
      <c r="J148" s="48" t="s">
        <v>770</v>
      </c>
      <c r="K148" s="48" t="s">
        <v>478</v>
      </c>
      <c r="L148" s="48" t="s">
        <v>778</v>
      </c>
      <c r="M148" s="48"/>
      <c r="N148" s="424">
        <f>16000-244.96-1000</f>
        <v>14755.04</v>
      </c>
      <c r="O148" s="574">
        <v>6076.22</v>
      </c>
      <c r="P148" s="574">
        <v>6076.22</v>
      </c>
      <c r="Q148" s="595">
        <f t="shared" si="2"/>
        <v>1</v>
      </c>
      <c r="R148" s="54">
        <v>19461.78</v>
      </c>
      <c r="S148" s="80">
        <f>O151+O72</f>
        <v>137823.08</v>
      </c>
    </row>
    <row r="149" spans="1:17" ht="36" customHeight="1" outlineLevel="2">
      <c r="A149" s="360" t="s">
        <v>545</v>
      </c>
      <c r="B149" s="69" t="s">
        <v>514</v>
      </c>
      <c r="C149" s="48" t="s">
        <v>390</v>
      </c>
      <c r="D149" s="48" t="s">
        <v>390</v>
      </c>
      <c r="E149" s="48" t="s">
        <v>770</v>
      </c>
      <c r="F149" s="48" t="s">
        <v>548</v>
      </c>
      <c r="G149" s="48" t="s">
        <v>480</v>
      </c>
      <c r="H149" s="48" t="s">
        <v>770</v>
      </c>
      <c r="I149" s="48" t="s">
        <v>548</v>
      </c>
      <c r="J149" s="48" t="s">
        <v>770</v>
      </c>
      <c r="K149" s="48" t="s">
        <v>480</v>
      </c>
      <c r="L149" s="48" t="s">
        <v>369</v>
      </c>
      <c r="M149" s="48"/>
      <c r="N149" s="374">
        <f>N150</f>
        <v>21000</v>
      </c>
      <c r="O149" s="575">
        <f>O150</f>
        <v>22482.94</v>
      </c>
      <c r="P149" s="575">
        <f>P150</f>
        <v>20409.64</v>
      </c>
      <c r="Q149" s="595">
        <f t="shared" si="2"/>
        <v>0.9077834126675605</v>
      </c>
    </row>
    <row r="150" spans="1:17" ht="30" outlineLevel="2">
      <c r="A150" s="51" t="s">
        <v>777</v>
      </c>
      <c r="B150" s="69" t="s">
        <v>514</v>
      </c>
      <c r="C150" s="48" t="s">
        <v>390</v>
      </c>
      <c r="D150" s="48" t="s">
        <v>390</v>
      </c>
      <c r="E150" s="48" t="s">
        <v>770</v>
      </c>
      <c r="F150" s="48" t="s">
        <v>548</v>
      </c>
      <c r="G150" s="48" t="s">
        <v>480</v>
      </c>
      <c r="H150" s="48" t="s">
        <v>770</v>
      </c>
      <c r="I150" s="48" t="s">
        <v>548</v>
      </c>
      <c r="J150" s="48" t="s">
        <v>770</v>
      </c>
      <c r="K150" s="48" t="s">
        <v>480</v>
      </c>
      <c r="L150" s="48" t="s">
        <v>778</v>
      </c>
      <c r="M150" s="48"/>
      <c r="N150" s="373">
        <v>21000</v>
      </c>
      <c r="O150" s="574">
        <f>21278.91-1658.02+2862.05</f>
        <v>22482.94</v>
      </c>
      <c r="P150" s="574">
        <v>20409.64</v>
      </c>
      <c r="Q150" s="595">
        <f t="shared" si="2"/>
        <v>0.9077834126675605</v>
      </c>
    </row>
    <row r="151" spans="1:17" ht="39" customHeight="1" outlineLevel="2">
      <c r="A151" s="51" t="s">
        <v>965</v>
      </c>
      <c r="B151" s="69" t="s">
        <v>514</v>
      </c>
      <c r="C151" s="48" t="s">
        <v>390</v>
      </c>
      <c r="D151" s="48" t="s">
        <v>386</v>
      </c>
      <c r="E151" s="48" t="s">
        <v>770</v>
      </c>
      <c r="F151" s="48" t="s">
        <v>470</v>
      </c>
      <c r="G151" s="48" t="s">
        <v>546</v>
      </c>
      <c r="H151" s="48" t="s">
        <v>552</v>
      </c>
      <c r="I151" s="48" t="s">
        <v>470</v>
      </c>
      <c r="J151" s="48" t="s">
        <v>770</v>
      </c>
      <c r="K151" s="48" t="s">
        <v>478</v>
      </c>
      <c r="L151" s="48" t="s">
        <v>778</v>
      </c>
      <c r="M151" s="48"/>
      <c r="N151" s="373">
        <v>0</v>
      </c>
      <c r="O151" s="574">
        <v>39074.32</v>
      </c>
      <c r="P151" s="574">
        <v>39074.321</v>
      </c>
      <c r="Q151" s="595">
        <f t="shared" si="2"/>
        <v>1.000000025592256</v>
      </c>
    </row>
    <row r="152" spans="1:17" ht="41.25" customHeight="1" outlineLevel="2">
      <c r="A152" s="51" t="s">
        <v>966</v>
      </c>
      <c r="B152" s="69" t="s">
        <v>514</v>
      </c>
      <c r="C152" s="48" t="s">
        <v>390</v>
      </c>
      <c r="D152" s="48" t="s">
        <v>386</v>
      </c>
      <c r="E152" s="48" t="s">
        <v>770</v>
      </c>
      <c r="F152" s="48" t="s">
        <v>470</v>
      </c>
      <c r="G152" s="48" t="s">
        <v>546</v>
      </c>
      <c r="H152" s="48" t="s">
        <v>552</v>
      </c>
      <c r="I152" s="48" t="s">
        <v>481</v>
      </c>
      <c r="J152" s="48" t="s">
        <v>770</v>
      </c>
      <c r="K152" s="48" t="s">
        <v>478</v>
      </c>
      <c r="L152" s="48" t="s">
        <v>778</v>
      </c>
      <c r="M152" s="48"/>
      <c r="N152" s="373">
        <v>0</v>
      </c>
      <c r="O152" s="574">
        <v>0</v>
      </c>
      <c r="P152" s="574"/>
      <c r="Q152" s="595" t="e">
        <f t="shared" si="2"/>
        <v>#DIV/0!</v>
      </c>
    </row>
    <row r="153" spans="1:17" ht="47.25" outlineLevel="2">
      <c r="A153" s="357" t="s">
        <v>807</v>
      </c>
      <c r="B153" s="69" t="s">
        <v>514</v>
      </c>
      <c r="C153" s="48" t="s">
        <v>390</v>
      </c>
      <c r="D153" s="48" t="s">
        <v>386</v>
      </c>
      <c r="E153" s="48" t="s">
        <v>528</v>
      </c>
      <c r="F153" s="48" t="s">
        <v>478</v>
      </c>
      <c r="G153" s="48" t="s">
        <v>528</v>
      </c>
      <c r="H153" s="48" t="s">
        <v>528</v>
      </c>
      <c r="I153" s="48" t="s">
        <v>478</v>
      </c>
      <c r="J153" s="48" t="s">
        <v>770</v>
      </c>
      <c r="K153" s="48" t="s">
        <v>528</v>
      </c>
      <c r="L153" s="48" t="s">
        <v>369</v>
      </c>
      <c r="M153" s="48"/>
      <c r="N153" s="372">
        <v>6000</v>
      </c>
      <c r="O153" s="372">
        <v>0</v>
      </c>
      <c r="P153" s="372"/>
      <c r="Q153" s="595" t="e">
        <f t="shared" si="2"/>
        <v>#DIV/0!</v>
      </c>
    </row>
    <row r="154" spans="1:19" ht="84" customHeight="1" outlineLevel="1">
      <c r="A154" s="349" t="s">
        <v>808</v>
      </c>
      <c r="B154" s="350" t="s">
        <v>514</v>
      </c>
      <c r="C154" s="350"/>
      <c r="D154" s="350"/>
      <c r="E154" s="350"/>
      <c r="F154" s="350"/>
      <c r="G154" s="350"/>
      <c r="H154" s="350"/>
      <c r="I154" s="350"/>
      <c r="J154" s="350"/>
      <c r="K154" s="350"/>
      <c r="L154" s="350"/>
      <c r="M154" s="350"/>
      <c r="N154" s="351">
        <f>N156+N191+N196+N198+N242+N262+N264+N279+N306+N189</f>
        <v>490020.19500000007</v>
      </c>
      <c r="O154" s="351">
        <f>O158+O162+O172+O173+O176+O178+O179+O180+O182+O185+O187+O190+O197+O205+O206+O227+O228+O229+O230+O231+O232+O234+O237+O238+O239+O241+O243+O261+O263+O265+O266+O268+O269+O270+O299+O300+O305+O322+O323+O324+O341+O357+O358+O359+O360+O361+O362+O363+O364+O370+O373+O376+O380+O381+O384+O387+O388+O389+O390+O391+O188</f>
        <v>505374.45</v>
      </c>
      <c r="P154" s="351">
        <f>P158+P162+P172+P173+P176+P178+P179+P180+P182+P185+P187+P190+P197+P205+P206+P227+P228+P229+P230+P231+P232+P234+P237+P238+P239+P241+P243+P261+P263+P265+P266+P268+P269+P270+P299+P300+P305+P322+P323+P324+P341+P357+P358+P359+P360+P361+P362+P363+P364+P370+P373+P376+P380+P381+P384+P387+P388+P389+P390+P391+P188</f>
        <v>492096.37</v>
      </c>
      <c r="Q154" s="595">
        <f t="shared" si="2"/>
        <v>0.9737262538697791</v>
      </c>
      <c r="R154" s="80">
        <f>O158+O162+O172+O173+O175+O177+O179+O180+O182+O185+O187+O190+O197+O205+O206+O227+O228+O229+O230+O231+O232+O234+O237+O238+O239+O241+O243+O261+O263+O265+O266+O268+O269+O270+O299+O300+O305+O322+O323+O324+O341+O357+O358+O359+O360+O361+O362+O363+O364+O370+O373+O376+O380+O381+O384+O387+O388+O389+O390+O391</f>
        <v>499374.45</v>
      </c>
      <c r="S154" s="80">
        <f>P158+P162+P172+P173+P175+P177+P179+P180+P182+P185+P187+P190+P197+P205+P206+P227+P228+P229+P230+P231+P232+P234+P237+P238+P239+P241+P243+P261+P263+P265+P266+P268+P269+P270+P299+P300+P305+P322+P323+P324+P341+P357+P358+P359+P360+P361+P362+P363+P364+P370+P373+P376+P380+P381+P384+P387+P388+P389+P390+P391</f>
        <v>486996.37</v>
      </c>
    </row>
    <row r="155" spans="1:17" ht="45" hidden="1" outlineLevel="2">
      <c r="A155" s="51" t="s">
        <v>348</v>
      </c>
      <c r="B155" s="48" t="s">
        <v>514</v>
      </c>
      <c r="C155" s="48" t="s">
        <v>386</v>
      </c>
      <c r="D155" s="48" t="s">
        <v>391</v>
      </c>
      <c r="E155" s="48"/>
      <c r="F155" s="48"/>
      <c r="G155" s="48"/>
      <c r="H155" s="48"/>
      <c r="I155" s="48"/>
      <c r="J155" s="48"/>
      <c r="K155" s="48"/>
      <c r="L155" s="48"/>
      <c r="M155" s="48"/>
      <c r="N155" s="49">
        <f>N157+N162</f>
        <v>14431.279999999999</v>
      </c>
      <c r="O155" s="49">
        <f>O157+O162</f>
        <v>14143.01</v>
      </c>
      <c r="P155" s="49">
        <f>P157+P162</f>
        <v>14143.01</v>
      </c>
      <c r="Q155" s="595">
        <f t="shared" si="2"/>
        <v>1</v>
      </c>
    </row>
    <row r="156" spans="1:19" s="79" customFormat="1" ht="60" customHeight="1" outlineLevel="2">
      <c r="A156" s="352" t="s">
        <v>799</v>
      </c>
      <c r="B156" s="353" t="s">
        <v>514</v>
      </c>
      <c r="C156" s="353" t="s">
        <v>386</v>
      </c>
      <c r="D156" s="353"/>
      <c r="E156" s="353" t="s">
        <v>528</v>
      </c>
      <c r="F156" s="353" t="s">
        <v>770</v>
      </c>
      <c r="G156" s="353"/>
      <c r="H156" s="353"/>
      <c r="I156" s="353"/>
      <c r="J156" s="353"/>
      <c r="K156" s="353"/>
      <c r="L156" s="353" t="s">
        <v>369</v>
      </c>
      <c r="M156" s="367"/>
      <c r="N156" s="368">
        <f>N157</f>
        <v>13005.89</v>
      </c>
      <c r="O156" s="368">
        <f>O157</f>
        <v>12527.23</v>
      </c>
      <c r="P156" s="368">
        <f>P157</f>
        <v>12527.23</v>
      </c>
      <c r="Q156" s="595">
        <f t="shared" si="2"/>
        <v>1</v>
      </c>
      <c r="R156" s="377">
        <f>O154-R154</f>
        <v>6000</v>
      </c>
      <c r="S156" s="377">
        <f>P154-S154</f>
        <v>5100</v>
      </c>
    </row>
    <row r="157" spans="1:18" ht="70.5" customHeight="1" outlineLevel="2">
      <c r="A157" s="51" t="s">
        <v>802</v>
      </c>
      <c r="B157" s="48" t="s">
        <v>514</v>
      </c>
      <c r="C157" s="48" t="s">
        <v>386</v>
      </c>
      <c r="D157" s="48"/>
      <c r="E157" s="48" t="s">
        <v>528</v>
      </c>
      <c r="F157" s="48" t="s">
        <v>770</v>
      </c>
      <c r="G157" s="48" t="s">
        <v>478</v>
      </c>
      <c r="H157" s="48"/>
      <c r="I157" s="48"/>
      <c r="J157" s="48"/>
      <c r="K157" s="48"/>
      <c r="L157" s="48" t="s">
        <v>369</v>
      </c>
      <c r="M157" s="48"/>
      <c r="N157" s="49">
        <f>N158+N162+N172+N173</f>
        <v>13005.89</v>
      </c>
      <c r="O157" s="49">
        <f>O158+O162+O172+O173</f>
        <v>12527.23</v>
      </c>
      <c r="P157" s="49">
        <f>P158+P162+P172+P173</f>
        <v>12527.23</v>
      </c>
      <c r="Q157" s="595">
        <f t="shared" si="2"/>
        <v>1</v>
      </c>
      <c r="R157" s="80">
        <f>P158+P162+P172+P173</f>
        <v>12527.23</v>
      </c>
    </row>
    <row r="158" spans="1:17" ht="102.75" customHeight="1" outlineLevel="2">
      <c r="A158" s="51" t="s">
        <v>800</v>
      </c>
      <c r="B158" s="48" t="s">
        <v>514</v>
      </c>
      <c r="C158" s="48" t="s">
        <v>386</v>
      </c>
      <c r="D158" s="48" t="s">
        <v>250</v>
      </c>
      <c r="E158" s="48" t="s">
        <v>528</v>
      </c>
      <c r="F158" s="48" t="s">
        <v>770</v>
      </c>
      <c r="G158" s="48" t="s">
        <v>478</v>
      </c>
      <c r="H158" s="48" t="s">
        <v>528</v>
      </c>
      <c r="I158" s="48" t="s">
        <v>770</v>
      </c>
      <c r="J158" s="48" t="s">
        <v>770</v>
      </c>
      <c r="K158" s="48" t="s">
        <v>528</v>
      </c>
      <c r="L158" s="48" t="s">
        <v>773</v>
      </c>
      <c r="M158" s="48"/>
      <c r="N158" s="49">
        <f>N159+N160+N161+474+510.94</f>
        <v>8239.76</v>
      </c>
      <c r="O158" s="49">
        <v>7784</v>
      </c>
      <c r="P158" s="49">
        <v>7784</v>
      </c>
      <c r="Q158" s="595">
        <f t="shared" si="2"/>
        <v>1</v>
      </c>
    </row>
    <row r="159" spans="1:17" ht="21" customHeight="1" hidden="1" outlineLevel="2">
      <c r="A159" s="51" t="s">
        <v>774</v>
      </c>
      <c r="B159" s="48" t="s">
        <v>514</v>
      </c>
      <c r="C159" s="48" t="s">
        <v>386</v>
      </c>
      <c r="D159" s="48" t="s">
        <v>250</v>
      </c>
      <c r="E159" s="48" t="s">
        <v>528</v>
      </c>
      <c r="F159" s="48" t="s">
        <v>770</v>
      </c>
      <c r="G159" s="48" t="s">
        <v>478</v>
      </c>
      <c r="H159" s="48" t="s">
        <v>528</v>
      </c>
      <c r="I159" s="48" t="s">
        <v>770</v>
      </c>
      <c r="J159" s="48" t="s">
        <v>770</v>
      </c>
      <c r="K159" s="48" t="s">
        <v>528</v>
      </c>
      <c r="L159" s="48" t="s">
        <v>635</v>
      </c>
      <c r="M159" s="48" t="s">
        <v>636</v>
      </c>
      <c r="N159" s="49">
        <v>5571.14</v>
      </c>
      <c r="O159" s="49">
        <v>5571.14</v>
      </c>
      <c r="P159" s="49"/>
      <c r="Q159" s="595">
        <f t="shared" si="2"/>
        <v>0</v>
      </c>
    </row>
    <row r="160" spans="1:17" ht="21" customHeight="1" hidden="1" outlineLevel="2">
      <c r="A160" s="51" t="s">
        <v>776</v>
      </c>
      <c r="B160" s="48" t="s">
        <v>514</v>
      </c>
      <c r="C160" s="48" t="s">
        <v>386</v>
      </c>
      <c r="D160" s="48" t="s">
        <v>250</v>
      </c>
      <c r="E160" s="48" t="s">
        <v>528</v>
      </c>
      <c r="F160" s="48" t="s">
        <v>770</v>
      </c>
      <c r="G160" s="48" t="s">
        <v>478</v>
      </c>
      <c r="H160" s="48" t="s">
        <v>528</v>
      </c>
      <c r="I160" s="48" t="s">
        <v>770</v>
      </c>
      <c r="J160" s="48" t="s">
        <v>770</v>
      </c>
      <c r="K160" s="48" t="s">
        <v>528</v>
      </c>
      <c r="L160" s="48" t="s">
        <v>661</v>
      </c>
      <c r="M160" s="48" t="s">
        <v>660</v>
      </c>
      <c r="N160" s="49">
        <v>1.2</v>
      </c>
      <c r="O160" s="49">
        <v>1.2</v>
      </c>
      <c r="P160" s="49"/>
      <c r="Q160" s="595">
        <f t="shared" si="2"/>
        <v>0</v>
      </c>
    </row>
    <row r="161" spans="1:17" ht="18.75" customHeight="1" hidden="1" outlineLevel="2">
      <c r="A161" s="51" t="s">
        <v>775</v>
      </c>
      <c r="B161" s="48" t="s">
        <v>514</v>
      </c>
      <c r="C161" s="48" t="s">
        <v>386</v>
      </c>
      <c r="D161" s="48" t="s">
        <v>250</v>
      </c>
      <c r="E161" s="48" t="s">
        <v>528</v>
      </c>
      <c r="F161" s="48" t="s">
        <v>770</v>
      </c>
      <c r="G161" s="48" t="s">
        <v>478</v>
      </c>
      <c r="H161" s="48" t="s">
        <v>528</v>
      </c>
      <c r="I161" s="48" t="s">
        <v>770</v>
      </c>
      <c r="J161" s="48" t="s">
        <v>770</v>
      </c>
      <c r="K161" s="48" t="s">
        <v>528</v>
      </c>
      <c r="L161" s="48" t="s">
        <v>635</v>
      </c>
      <c r="M161" s="48" t="s">
        <v>637</v>
      </c>
      <c r="N161" s="49">
        <v>1682.48</v>
      </c>
      <c r="O161" s="49">
        <v>1682.48</v>
      </c>
      <c r="P161" s="49"/>
      <c r="Q161" s="595">
        <f t="shared" si="2"/>
        <v>0</v>
      </c>
    </row>
    <row r="162" spans="1:17" ht="30" outlineLevel="2">
      <c r="A162" s="51" t="s">
        <v>777</v>
      </c>
      <c r="B162" s="48" t="s">
        <v>514</v>
      </c>
      <c r="C162" s="48" t="s">
        <v>386</v>
      </c>
      <c r="D162" s="48" t="s">
        <v>250</v>
      </c>
      <c r="E162" s="48" t="s">
        <v>528</v>
      </c>
      <c r="F162" s="48" t="s">
        <v>770</v>
      </c>
      <c r="G162" s="48" t="s">
        <v>478</v>
      </c>
      <c r="H162" s="48" t="s">
        <v>528</v>
      </c>
      <c r="I162" s="48" t="s">
        <v>770</v>
      </c>
      <c r="J162" s="48" t="s">
        <v>770</v>
      </c>
      <c r="K162" s="48" t="s">
        <v>478</v>
      </c>
      <c r="L162" s="48" t="s">
        <v>778</v>
      </c>
      <c r="M162" s="48"/>
      <c r="N162" s="49">
        <f>N163+N164+N165+N166+N167+N168+N169+N170+N171</f>
        <v>1425.3899999999999</v>
      </c>
      <c r="O162" s="49">
        <v>1615.78</v>
      </c>
      <c r="P162" s="49">
        <v>1615.78</v>
      </c>
      <c r="Q162" s="595">
        <f t="shared" si="2"/>
        <v>1</v>
      </c>
    </row>
    <row r="163" spans="1:17" ht="16.5" hidden="1" outlineLevel="2">
      <c r="A163" s="51" t="s">
        <v>779</v>
      </c>
      <c r="B163" s="48" t="s">
        <v>514</v>
      </c>
      <c r="C163" s="48" t="s">
        <v>386</v>
      </c>
      <c r="D163" s="48" t="s">
        <v>250</v>
      </c>
      <c r="E163" s="48"/>
      <c r="F163" s="48"/>
      <c r="G163" s="48"/>
      <c r="H163" s="48"/>
      <c r="I163" s="48"/>
      <c r="J163" s="48"/>
      <c r="K163" s="48"/>
      <c r="L163" s="48" t="s">
        <v>639</v>
      </c>
      <c r="M163" s="48" t="s">
        <v>640</v>
      </c>
      <c r="N163" s="49">
        <v>64.7</v>
      </c>
      <c r="O163" s="49">
        <v>64.7</v>
      </c>
      <c r="P163" s="49"/>
      <c r="Q163" s="595">
        <f t="shared" si="2"/>
        <v>0</v>
      </c>
    </row>
    <row r="164" spans="1:17" ht="16.5" hidden="1" outlineLevel="2">
      <c r="A164" s="51" t="s">
        <v>780</v>
      </c>
      <c r="B164" s="48" t="s">
        <v>514</v>
      </c>
      <c r="C164" s="48" t="s">
        <v>386</v>
      </c>
      <c r="D164" s="48" t="s">
        <v>250</v>
      </c>
      <c r="E164" s="48"/>
      <c r="F164" s="48"/>
      <c r="G164" s="48"/>
      <c r="H164" s="48"/>
      <c r="I164" s="48"/>
      <c r="J164" s="48"/>
      <c r="K164" s="48"/>
      <c r="L164" s="48" t="s">
        <v>639</v>
      </c>
      <c r="M164" s="48" t="s">
        <v>641</v>
      </c>
      <c r="N164" s="49">
        <v>13.71</v>
      </c>
      <c r="O164" s="49">
        <v>13.71</v>
      </c>
      <c r="P164" s="49"/>
      <c r="Q164" s="595">
        <f t="shared" si="2"/>
        <v>0</v>
      </c>
    </row>
    <row r="165" spans="1:17" ht="16.5" hidden="1" outlineLevel="2">
      <c r="A165" s="51" t="s">
        <v>781</v>
      </c>
      <c r="B165" s="48" t="s">
        <v>514</v>
      </c>
      <c r="C165" s="48" t="s">
        <v>386</v>
      </c>
      <c r="D165" s="48" t="s">
        <v>250</v>
      </c>
      <c r="E165" s="48"/>
      <c r="F165" s="48"/>
      <c r="G165" s="48"/>
      <c r="H165" s="48"/>
      <c r="I165" s="48"/>
      <c r="J165" s="48"/>
      <c r="K165" s="48"/>
      <c r="L165" s="48" t="s">
        <v>639</v>
      </c>
      <c r="M165" s="48" t="s">
        <v>642</v>
      </c>
      <c r="N165" s="49">
        <v>0</v>
      </c>
      <c r="O165" s="49">
        <v>0</v>
      </c>
      <c r="P165" s="49"/>
      <c r="Q165" s="595" t="e">
        <f t="shared" si="2"/>
        <v>#DIV/0!</v>
      </c>
    </row>
    <row r="166" spans="1:17" ht="16.5" hidden="1" outlineLevel="2">
      <c r="A166" s="51" t="s">
        <v>782</v>
      </c>
      <c r="B166" s="48" t="s">
        <v>514</v>
      </c>
      <c r="C166" s="48" t="s">
        <v>386</v>
      </c>
      <c r="D166" s="48" t="s">
        <v>250</v>
      </c>
      <c r="E166" s="48"/>
      <c r="F166" s="48"/>
      <c r="G166" s="48"/>
      <c r="H166" s="48"/>
      <c r="I166" s="48"/>
      <c r="J166" s="48"/>
      <c r="K166" s="48"/>
      <c r="L166" s="48" t="s">
        <v>639</v>
      </c>
      <c r="M166" s="48" t="s">
        <v>643</v>
      </c>
      <c r="N166" s="49">
        <v>0</v>
      </c>
      <c r="O166" s="49">
        <v>0</v>
      </c>
      <c r="P166" s="49"/>
      <c r="Q166" s="595" t="e">
        <f t="shared" si="2"/>
        <v>#DIV/0!</v>
      </c>
    </row>
    <row r="167" spans="1:17" ht="16.5" hidden="1" outlineLevel="2">
      <c r="A167" s="51" t="s">
        <v>783</v>
      </c>
      <c r="B167" s="48" t="s">
        <v>514</v>
      </c>
      <c r="C167" s="48" t="s">
        <v>386</v>
      </c>
      <c r="D167" s="48" t="s">
        <v>250</v>
      </c>
      <c r="E167" s="48"/>
      <c r="F167" s="48"/>
      <c r="G167" s="48"/>
      <c r="H167" s="48"/>
      <c r="I167" s="48"/>
      <c r="J167" s="48"/>
      <c r="K167" s="48"/>
      <c r="L167" s="48" t="s">
        <v>639</v>
      </c>
      <c r="M167" s="48" t="s">
        <v>644</v>
      </c>
      <c r="N167" s="49">
        <v>100</v>
      </c>
      <c r="O167" s="49">
        <v>100</v>
      </c>
      <c r="P167" s="49"/>
      <c r="Q167" s="595">
        <f t="shared" si="2"/>
        <v>0</v>
      </c>
    </row>
    <row r="168" spans="1:17" ht="16.5" hidden="1" outlineLevel="2">
      <c r="A168" s="51" t="s">
        <v>784</v>
      </c>
      <c r="B168" s="48" t="s">
        <v>514</v>
      </c>
      <c r="C168" s="48" t="s">
        <v>386</v>
      </c>
      <c r="D168" s="48" t="s">
        <v>250</v>
      </c>
      <c r="E168" s="48"/>
      <c r="F168" s="48"/>
      <c r="G168" s="48"/>
      <c r="H168" s="48"/>
      <c r="I168" s="48"/>
      <c r="J168" s="48"/>
      <c r="K168" s="48"/>
      <c r="L168" s="48" t="s">
        <v>639</v>
      </c>
      <c r="M168" s="48" t="s">
        <v>645</v>
      </c>
      <c r="N168" s="49">
        <v>927.65</v>
      </c>
      <c r="O168" s="49">
        <v>927.65</v>
      </c>
      <c r="P168" s="49"/>
      <c r="Q168" s="595">
        <f t="shared" si="2"/>
        <v>0</v>
      </c>
    </row>
    <row r="169" spans="1:17" ht="16.5" hidden="1" outlineLevel="2">
      <c r="A169" s="51" t="s">
        <v>785</v>
      </c>
      <c r="B169" s="48" t="s">
        <v>514</v>
      </c>
      <c r="C169" s="48" t="s">
        <v>386</v>
      </c>
      <c r="D169" s="48" t="s">
        <v>250</v>
      </c>
      <c r="E169" s="48"/>
      <c r="F169" s="48"/>
      <c r="G169" s="48"/>
      <c r="H169" s="48"/>
      <c r="I169" s="48"/>
      <c r="J169" s="48"/>
      <c r="K169" s="48"/>
      <c r="L169" s="48" t="s">
        <v>639</v>
      </c>
      <c r="M169" s="48" t="s">
        <v>646</v>
      </c>
      <c r="N169" s="49">
        <v>33.33</v>
      </c>
      <c r="O169" s="49">
        <v>33.33</v>
      </c>
      <c r="P169" s="49"/>
      <c r="Q169" s="595">
        <f t="shared" si="2"/>
        <v>0</v>
      </c>
    </row>
    <row r="170" spans="1:17" ht="16.5" hidden="1" outlineLevel="2">
      <c r="A170" s="51" t="s">
        <v>786</v>
      </c>
      <c r="B170" s="48" t="s">
        <v>514</v>
      </c>
      <c r="C170" s="48" t="s">
        <v>386</v>
      </c>
      <c r="D170" s="48" t="s">
        <v>250</v>
      </c>
      <c r="E170" s="48"/>
      <c r="F170" s="48"/>
      <c r="G170" s="48"/>
      <c r="H170" s="48"/>
      <c r="I170" s="48"/>
      <c r="J170" s="48"/>
      <c r="K170" s="48"/>
      <c r="L170" s="48" t="s">
        <v>639</v>
      </c>
      <c r="M170" s="48" t="s">
        <v>647</v>
      </c>
      <c r="N170" s="49">
        <v>150</v>
      </c>
      <c r="O170" s="49">
        <v>150</v>
      </c>
      <c r="P170" s="49"/>
      <c r="Q170" s="595">
        <f t="shared" si="2"/>
        <v>0</v>
      </c>
    </row>
    <row r="171" spans="1:17" ht="16.5" hidden="1" outlineLevel="2">
      <c r="A171" s="51" t="s">
        <v>787</v>
      </c>
      <c r="B171" s="48" t="s">
        <v>514</v>
      </c>
      <c r="C171" s="48" t="s">
        <v>386</v>
      </c>
      <c r="D171" s="48" t="s">
        <v>250</v>
      </c>
      <c r="E171" s="48"/>
      <c r="F171" s="48"/>
      <c r="G171" s="48"/>
      <c r="H171" s="48"/>
      <c r="I171" s="48"/>
      <c r="J171" s="48"/>
      <c r="K171" s="48"/>
      <c r="L171" s="48" t="s">
        <v>639</v>
      </c>
      <c r="M171" s="48" t="s">
        <v>648</v>
      </c>
      <c r="N171" s="49">
        <v>136</v>
      </c>
      <c r="O171" s="49">
        <v>136</v>
      </c>
      <c r="P171" s="49"/>
      <c r="Q171" s="595">
        <f t="shared" si="2"/>
        <v>0</v>
      </c>
    </row>
    <row r="172" spans="1:17" ht="16.5" outlineLevel="2">
      <c r="A172" s="51" t="s">
        <v>516</v>
      </c>
      <c r="B172" s="48" t="s">
        <v>514</v>
      </c>
      <c r="C172" s="48" t="s">
        <v>386</v>
      </c>
      <c r="D172" s="48" t="s">
        <v>251</v>
      </c>
      <c r="E172" s="48" t="s">
        <v>528</v>
      </c>
      <c r="F172" s="48" t="s">
        <v>770</v>
      </c>
      <c r="G172" s="48" t="s">
        <v>478</v>
      </c>
      <c r="H172" s="48" t="s">
        <v>528</v>
      </c>
      <c r="I172" s="48" t="s">
        <v>770</v>
      </c>
      <c r="J172" s="48" t="s">
        <v>770</v>
      </c>
      <c r="K172" s="48" t="s">
        <v>479</v>
      </c>
      <c r="L172" s="48" t="s">
        <v>514</v>
      </c>
      <c r="M172" s="48"/>
      <c r="N172" s="49">
        <v>500</v>
      </c>
      <c r="O172" s="49">
        <v>287</v>
      </c>
      <c r="P172" s="49">
        <v>287</v>
      </c>
      <c r="Q172" s="595">
        <f t="shared" si="2"/>
        <v>1</v>
      </c>
    </row>
    <row r="173" spans="1:17" s="63" customFormat="1" ht="30" outlineLevel="2">
      <c r="A173" s="51" t="s">
        <v>809</v>
      </c>
      <c r="B173" s="48" t="s">
        <v>514</v>
      </c>
      <c r="C173" s="48" t="s">
        <v>392</v>
      </c>
      <c r="D173" s="48" t="s">
        <v>810</v>
      </c>
      <c r="E173" s="48" t="s">
        <v>528</v>
      </c>
      <c r="F173" s="48" t="s">
        <v>770</v>
      </c>
      <c r="G173" s="48" t="s">
        <v>478</v>
      </c>
      <c r="H173" s="48" t="s">
        <v>528</v>
      </c>
      <c r="I173" s="48" t="s">
        <v>770</v>
      </c>
      <c r="J173" s="48" t="s">
        <v>770</v>
      </c>
      <c r="K173" s="48" t="s">
        <v>480</v>
      </c>
      <c r="L173" s="48" t="s">
        <v>367</v>
      </c>
      <c r="M173" s="48"/>
      <c r="N173" s="49">
        <f>N174</f>
        <v>2840.74</v>
      </c>
      <c r="O173" s="49">
        <v>2840.45</v>
      </c>
      <c r="P173" s="49">
        <v>2840.45</v>
      </c>
      <c r="Q173" s="595">
        <f t="shared" si="2"/>
        <v>1</v>
      </c>
    </row>
    <row r="174" spans="1:17" ht="16.5" hidden="1">
      <c r="A174" s="62" t="s">
        <v>811</v>
      </c>
      <c r="B174" s="72" t="s">
        <v>514</v>
      </c>
      <c r="C174" s="72" t="s">
        <v>392</v>
      </c>
      <c r="D174" s="72" t="s">
        <v>386</v>
      </c>
      <c r="E174" s="72"/>
      <c r="F174" s="72"/>
      <c r="G174" s="72"/>
      <c r="H174" s="72"/>
      <c r="I174" s="72"/>
      <c r="J174" s="72"/>
      <c r="K174" s="72"/>
      <c r="L174" s="72" t="s">
        <v>683</v>
      </c>
      <c r="M174" s="72" t="s">
        <v>684</v>
      </c>
      <c r="N174" s="133">
        <v>2840.74</v>
      </c>
      <c r="O174" s="371">
        <v>2840.74</v>
      </c>
      <c r="P174" s="371"/>
      <c r="Q174" s="595">
        <f t="shared" si="2"/>
        <v>0</v>
      </c>
    </row>
    <row r="175" spans="1:17" ht="72" customHeight="1" outlineLevel="2">
      <c r="A175" s="357" t="s">
        <v>792</v>
      </c>
      <c r="B175" s="358" t="s">
        <v>488</v>
      </c>
      <c r="C175" s="358" t="s">
        <v>386</v>
      </c>
      <c r="D175" s="358" t="s">
        <v>392</v>
      </c>
      <c r="E175" s="48" t="s">
        <v>528</v>
      </c>
      <c r="F175" s="48" t="s">
        <v>480</v>
      </c>
      <c r="G175" s="48" t="s">
        <v>528</v>
      </c>
      <c r="H175" s="48" t="s">
        <v>528</v>
      </c>
      <c r="I175" s="48" t="s">
        <v>480</v>
      </c>
      <c r="J175" s="48" t="s">
        <v>770</v>
      </c>
      <c r="K175" s="48" t="s">
        <v>528</v>
      </c>
      <c r="L175" s="48" t="s">
        <v>369</v>
      </c>
      <c r="M175" s="48"/>
      <c r="N175" s="49">
        <f>N176</f>
        <v>1000</v>
      </c>
      <c r="O175" s="49">
        <f>O176</f>
        <v>60</v>
      </c>
      <c r="P175" s="49">
        <v>60</v>
      </c>
      <c r="Q175" s="595">
        <f t="shared" si="2"/>
        <v>1</v>
      </c>
    </row>
    <row r="176" spans="1:17" ht="30" outlineLevel="2">
      <c r="A176" s="51" t="s">
        <v>777</v>
      </c>
      <c r="B176" s="72" t="s">
        <v>488</v>
      </c>
      <c r="C176" s="72" t="s">
        <v>386</v>
      </c>
      <c r="D176" s="72" t="s">
        <v>392</v>
      </c>
      <c r="E176" s="48" t="s">
        <v>528</v>
      </c>
      <c r="F176" s="48" t="s">
        <v>480</v>
      </c>
      <c r="G176" s="48" t="s">
        <v>528</v>
      </c>
      <c r="H176" s="48" t="s">
        <v>528</v>
      </c>
      <c r="I176" s="48" t="s">
        <v>480</v>
      </c>
      <c r="J176" s="48" t="s">
        <v>770</v>
      </c>
      <c r="K176" s="48" t="s">
        <v>528</v>
      </c>
      <c r="L176" s="48" t="s">
        <v>482</v>
      </c>
      <c r="M176" s="48"/>
      <c r="N176" s="49">
        <v>1000</v>
      </c>
      <c r="O176" s="49">
        <v>60</v>
      </c>
      <c r="P176" s="49">
        <v>60</v>
      </c>
      <c r="Q176" s="595">
        <f t="shared" si="2"/>
        <v>1</v>
      </c>
    </row>
    <row r="177" spans="1:17" ht="31.5" outlineLevel="2">
      <c r="A177" s="357" t="s">
        <v>791</v>
      </c>
      <c r="B177" s="358" t="s">
        <v>514</v>
      </c>
      <c r="C177" s="358" t="s">
        <v>386</v>
      </c>
      <c r="D177" s="358" t="s">
        <v>388</v>
      </c>
      <c r="E177" s="48" t="s">
        <v>528</v>
      </c>
      <c r="F177" s="48" t="s">
        <v>479</v>
      </c>
      <c r="G177" s="48" t="s">
        <v>528</v>
      </c>
      <c r="H177" s="48" t="s">
        <v>528</v>
      </c>
      <c r="I177" s="48" t="s">
        <v>479</v>
      </c>
      <c r="J177" s="48" t="s">
        <v>770</v>
      </c>
      <c r="K177" s="48" t="s">
        <v>528</v>
      </c>
      <c r="L177" s="48" t="s">
        <v>369</v>
      </c>
      <c r="M177" s="48"/>
      <c r="N177" s="49">
        <f>N178</f>
        <v>0</v>
      </c>
      <c r="O177" s="49">
        <f>O178</f>
        <v>1000</v>
      </c>
      <c r="P177" s="49">
        <f>P178</f>
        <v>1000</v>
      </c>
      <c r="Q177" s="595">
        <f t="shared" si="2"/>
        <v>1</v>
      </c>
    </row>
    <row r="178" spans="1:17" ht="30" outlineLevel="2">
      <c r="A178" s="51" t="s">
        <v>777</v>
      </c>
      <c r="B178" s="72" t="s">
        <v>514</v>
      </c>
      <c r="C178" s="72" t="s">
        <v>386</v>
      </c>
      <c r="D178" s="72" t="s">
        <v>388</v>
      </c>
      <c r="E178" s="48" t="s">
        <v>528</v>
      </c>
      <c r="F178" s="48" t="s">
        <v>479</v>
      </c>
      <c r="G178" s="48" t="s">
        <v>528</v>
      </c>
      <c r="H178" s="48" t="s">
        <v>528</v>
      </c>
      <c r="I178" s="48" t="s">
        <v>479</v>
      </c>
      <c r="J178" s="48" t="s">
        <v>770</v>
      </c>
      <c r="K178" s="48" t="s">
        <v>528</v>
      </c>
      <c r="L178" s="48" t="s">
        <v>778</v>
      </c>
      <c r="M178" s="48"/>
      <c r="N178" s="49">
        <v>0</v>
      </c>
      <c r="O178" s="49">
        <v>1000</v>
      </c>
      <c r="P178" s="49">
        <v>1000</v>
      </c>
      <c r="Q178" s="595">
        <f t="shared" si="2"/>
        <v>1</v>
      </c>
    </row>
    <row r="179" spans="1:17" ht="52.5" customHeight="1" outlineLevel="2">
      <c r="A179" s="51" t="s">
        <v>953</v>
      </c>
      <c r="B179" s="72" t="s">
        <v>514</v>
      </c>
      <c r="C179" s="72" t="s">
        <v>391</v>
      </c>
      <c r="D179" s="72" t="s">
        <v>385</v>
      </c>
      <c r="E179" s="48" t="s">
        <v>548</v>
      </c>
      <c r="F179" s="48" t="s">
        <v>528</v>
      </c>
      <c r="G179" s="48" t="s">
        <v>528</v>
      </c>
      <c r="H179" s="48" t="s">
        <v>481</v>
      </c>
      <c r="I179" s="48" t="s">
        <v>770</v>
      </c>
      <c r="J179" s="48" t="s">
        <v>480</v>
      </c>
      <c r="K179" s="48" t="s">
        <v>528</v>
      </c>
      <c r="L179" s="48" t="s">
        <v>482</v>
      </c>
      <c r="M179" s="48"/>
      <c r="N179" s="49">
        <v>0</v>
      </c>
      <c r="O179" s="49">
        <v>120.2</v>
      </c>
      <c r="P179" s="49">
        <v>120.1</v>
      </c>
      <c r="Q179" s="595">
        <f t="shared" si="2"/>
        <v>0.9991680532445922</v>
      </c>
    </row>
    <row r="180" spans="1:17" ht="68.25" customHeight="1" outlineLevel="2">
      <c r="A180" s="413" t="s">
        <v>580</v>
      </c>
      <c r="B180" s="48" t="s">
        <v>488</v>
      </c>
      <c r="C180" s="73" t="s">
        <v>386</v>
      </c>
      <c r="D180" s="73" t="s">
        <v>392</v>
      </c>
      <c r="E180" s="48" t="s">
        <v>770</v>
      </c>
      <c r="F180" s="48" t="s">
        <v>546</v>
      </c>
      <c r="G180" s="48" t="s">
        <v>479</v>
      </c>
      <c r="H180" s="48" t="s">
        <v>770</v>
      </c>
      <c r="I180" s="48" t="s">
        <v>546</v>
      </c>
      <c r="J180" s="48" t="s">
        <v>770</v>
      </c>
      <c r="K180" s="48" t="s">
        <v>479</v>
      </c>
      <c r="L180" s="48" t="s">
        <v>369</v>
      </c>
      <c r="M180" s="48"/>
      <c r="N180" s="49">
        <f>N181</f>
        <v>40</v>
      </c>
      <c r="O180" s="49">
        <f>O181</f>
        <v>16</v>
      </c>
      <c r="P180" s="49">
        <f>P181</f>
        <v>16</v>
      </c>
      <c r="Q180" s="595">
        <f t="shared" si="2"/>
        <v>1</v>
      </c>
    </row>
    <row r="181" spans="1:17" ht="68.25" customHeight="1" outlineLevel="2">
      <c r="A181" s="51" t="s">
        <v>777</v>
      </c>
      <c r="B181" s="72" t="s">
        <v>488</v>
      </c>
      <c r="C181" s="73" t="s">
        <v>386</v>
      </c>
      <c r="D181" s="73" t="s">
        <v>392</v>
      </c>
      <c r="E181" s="48" t="s">
        <v>770</v>
      </c>
      <c r="F181" s="48" t="s">
        <v>546</v>
      </c>
      <c r="G181" s="48" t="s">
        <v>479</v>
      </c>
      <c r="H181" s="48" t="s">
        <v>770</v>
      </c>
      <c r="I181" s="48" t="s">
        <v>546</v>
      </c>
      <c r="J181" s="48" t="s">
        <v>770</v>
      </c>
      <c r="K181" s="48" t="s">
        <v>479</v>
      </c>
      <c r="L181" s="48" t="s">
        <v>778</v>
      </c>
      <c r="M181" s="48"/>
      <c r="N181" s="49">
        <v>40</v>
      </c>
      <c r="O181" s="49">
        <v>16</v>
      </c>
      <c r="P181" s="49">
        <v>16</v>
      </c>
      <c r="Q181" s="595">
        <f t="shared" si="2"/>
        <v>1</v>
      </c>
    </row>
    <row r="182" spans="1:17" ht="70.5" customHeight="1" outlineLevel="2">
      <c r="A182" s="360" t="s">
        <v>578</v>
      </c>
      <c r="B182" s="48" t="s">
        <v>488</v>
      </c>
      <c r="C182" s="73" t="s">
        <v>391</v>
      </c>
      <c r="D182" s="73" t="s">
        <v>385</v>
      </c>
      <c r="E182" s="48" t="s">
        <v>770</v>
      </c>
      <c r="F182" s="48" t="s">
        <v>546</v>
      </c>
      <c r="G182" s="48" t="s">
        <v>528</v>
      </c>
      <c r="H182" s="48" t="s">
        <v>770</v>
      </c>
      <c r="I182" s="48" t="s">
        <v>546</v>
      </c>
      <c r="J182" s="48" t="s">
        <v>770</v>
      </c>
      <c r="K182" s="48" t="s">
        <v>528</v>
      </c>
      <c r="L182" s="48" t="s">
        <v>369</v>
      </c>
      <c r="M182" s="48"/>
      <c r="N182" s="49">
        <f>N183</f>
        <v>400</v>
      </c>
      <c r="O182" s="49">
        <f>O183</f>
        <v>20</v>
      </c>
      <c r="P182" s="49">
        <f>P183</f>
        <v>20</v>
      </c>
      <c r="Q182" s="595">
        <f t="shared" si="2"/>
        <v>1</v>
      </c>
    </row>
    <row r="183" spans="1:17" ht="51" customHeight="1" outlineLevel="2">
      <c r="A183" s="51" t="s">
        <v>777</v>
      </c>
      <c r="B183" s="72" t="s">
        <v>488</v>
      </c>
      <c r="C183" s="73" t="s">
        <v>391</v>
      </c>
      <c r="D183" s="73" t="s">
        <v>385</v>
      </c>
      <c r="E183" s="48" t="s">
        <v>770</v>
      </c>
      <c r="F183" s="48" t="s">
        <v>546</v>
      </c>
      <c r="G183" s="48" t="s">
        <v>528</v>
      </c>
      <c r="H183" s="48" t="s">
        <v>770</v>
      </c>
      <c r="I183" s="48" t="s">
        <v>546</v>
      </c>
      <c r="J183" s="48" t="s">
        <v>770</v>
      </c>
      <c r="K183" s="48" t="s">
        <v>528</v>
      </c>
      <c r="L183" s="48" t="s">
        <v>778</v>
      </c>
      <c r="M183" s="48"/>
      <c r="N183" s="49">
        <f>500-100</f>
        <v>400</v>
      </c>
      <c r="O183" s="49">
        <v>20</v>
      </c>
      <c r="P183" s="49">
        <v>20</v>
      </c>
      <c r="Q183" s="595">
        <f t="shared" si="2"/>
        <v>1</v>
      </c>
    </row>
    <row r="184" spans="1:17" s="79" customFormat="1" ht="31.5" customHeight="1" outlineLevel="2">
      <c r="A184" s="51" t="s">
        <v>964</v>
      </c>
      <c r="B184" s="69" t="s">
        <v>514</v>
      </c>
      <c r="C184" s="48" t="s">
        <v>387</v>
      </c>
      <c r="D184" s="48" t="s">
        <v>385</v>
      </c>
      <c r="E184" s="48" t="s">
        <v>770</v>
      </c>
      <c r="F184" s="48" t="s">
        <v>548</v>
      </c>
      <c r="G184" s="48" t="s">
        <v>479</v>
      </c>
      <c r="H184" s="48" t="s">
        <v>770</v>
      </c>
      <c r="I184" s="48" t="s">
        <v>548</v>
      </c>
      <c r="J184" s="48" t="s">
        <v>770</v>
      </c>
      <c r="K184" s="48" t="s">
        <v>479</v>
      </c>
      <c r="L184" s="48" t="s">
        <v>369</v>
      </c>
      <c r="M184" s="353"/>
      <c r="N184" s="359">
        <f>N185</f>
        <v>10487.1</v>
      </c>
      <c r="O184" s="359">
        <f>O185</f>
        <v>5238.57</v>
      </c>
      <c r="P184" s="359">
        <f>P185</f>
        <v>5238.57</v>
      </c>
      <c r="Q184" s="595">
        <f t="shared" si="2"/>
        <v>1</v>
      </c>
    </row>
    <row r="185" spans="1:17" ht="34.5" customHeight="1" outlineLevel="2">
      <c r="A185" s="51" t="s">
        <v>777</v>
      </c>
      <c r="B185" s="69" t="s">
        <v>514</v>
      </c>
      <c r="C185" s="48" t="s">
        <v>387</v>
      </c>
      <c r="D185" s="48" t="s">
        <v>385</v>
      </c>
      <c r="E185" s="48" t="s">
        <v>770</v>
      </c>
      <c r="F185" s="48" t="s">
        <v>548</v>
      </c>
      <c r="G185" s="48" t="s">
        <v>479</v>
      </c>
      <c r="H185" s="48" t="s">
        <v>770</v>
      </c>
      <c r="I185" s="48" t="s">
        <v>548</v>
      </c>
      <c r="J185" s="48" t="s">
        <v>770</v>
      </c>
      <c r="K185" s="48" t="s">
        <v>479</v>
      </c>
      <c r="L185" s="48" t="s">
        <v>482</v>
      </c>
      <c r="M185" s="48"/>
      <c r="N185" s="371">
        <v>10487.1</v>
      </c>
      <c r="O185" s="371">
        <v>5238.57</v>
      </c>
      <c r="P185" s="371">
        <v>5238.57</v>
      </c>
      <c r="Q185" s="595">
        <f t="shared" si="2"/>
        <v>1</v>
      </c>
    </row>
    <row r="186" spans="1:17" ht="39.75" customHeight="1" outlineLevel="2">
      <c r="A186" s="360" t="s">
        <v>1000</v>
      </c>
      <c r="B186" s="69" t="s">
        <v>514</v>
      </c>
      <c r="C186" s="48" t="s">
        <v>390</v>
      </c>
      <c r="D186" s="48" t="s">
        <v>390</v>
      </c>
      <c r="E186" s="48" t="s">
        <v>770</v>
      </c>
      <c r="F186" s="48" t="s">
        <v>548</v>
      </c>
      <c r="G186" s="48" t="s">
        <v>528</v>
      </c>
      <c r="H186" s="48" t="s">
        <v>770</v>
      </c>
      <c r="I186" s="48" t="s">
        <v>548</v>
      </c>
      <c r="J186" s="48" t="s">
        <v>770</v>
      </c>
      <c r="K186" s="48" t="s">
        <v>528</v>
      </c>
      <c r="L186" s="48" t="s">
        <v>369</v>
      </c>
      <c r="M186" s="48"/>
      <c r="N186" s="372">
        <f>N187</f>
        <v>1400</v>
      </c>
      <c r="O186" s="372">
        <f>O187</f>
        <v>176.74</v>
      </c>
      <c r="P186" s="372">
        <f>P187</f>
        <v>176.74</v>
      </c>
      <c r="Q186" s="595">
        <f t="shared" si="2"/>
        <v>1</v>
      </c>
    </row>
    <row r="187" spans="1:17" ht="36" customHeight="1" outlineLevel="2">
      <c r="A187" s="51" t="s">
        <v>777</v>
      </c>
      <c r="B187" s="69" t="s">
        <v>514</v>
      </c>
      <c r="C187" s="48" t="s">
        <v>390</v>
      </c>
      <c r="D187" s="48" t="s">
        <v>390</v>
      </c>
      <c r="E187" s="48" t="s">
        <v>770</v>
      </c>
      <c r="F187" s="48" t="s">
        <v>548</v>
      </c>
      <c r="G187" s="48" t="s">
        <v>528</v>
      </c>
      <c r="H187" s="48" t="s">
        <v>770</v>
      </c>
      <c r="I187" s="48" t="s">
        <v>548</v>
      </c>
      <c r="J187" s="48" t="s">
        <v>770</v>
      </c>
      <c r="K187" s="48" t="s">
        <v>528</v>
      </c>
      <c r="L187" s="48" t="s">
        <v>482</v>
      </c>
      <c r="M187" s="48"/>
      <c r="N187" s="373">
        <v>1400</v>
      </c>
      <c r="O187" s="574">
        <v>176.74</v>
      </c>
      <c r="P187" s="574">
        <v>176.74</v>
      </c>
      <c r="Q187" s="595">
        <f t="shared" si="2"/>
        <v>1</v>
      </c>
    </row>
    <row r="188" spans="1:17" ht="47.25" outlineLevel="2">
      <c r="A188" s="357" t="s">
        <v>807</v>
      </c>
      <c r="B188" s="69" t="s">
        <v>514</v>
      </c>
      <c r="C188" s="48" t="s">
        <v>390</v>
      </c>
      <c r="D188" s="48" t="s">
        <v>386</v>
      </c>
      <c r="E188" s="48" t="s">
        <v>528</v>
      </c>
      <c r="F188" s="48" t="s">
        <v>478</v>
      </c>
      <c r="G188" s="48" t="s">
        <v>528</v>
      </c>
      <c r="H188" s="48" t="s">
        <v>528</v>
      </c>
      <c r="I188" s="48" t="s">
        <v>478</v>
      </c>
      <c r="J188" s="48" t="s">
        <v>770</v>
      </c>
      <c r="K188" s="48" t="s">
        <v>528</v>
      </c>
      <c r="L188" s="48" t="s">
        <v>369</v>
      </c>
      <c r="M188" s="48"/>
      <c r="N188" s="372">
        <v>6000</v>
      </c>
      <c r="O188" s="372">
        <v>6000</v>
      </c>
      <c r="P188" s="372">
        <v>5100</v>
      </c>
      <c r="Q188" s="595">
        <f t="shared" si="2"/>
        <v>0.85</v>
      </c>
    </row>
    <row r="189" spans="1:17" s="79" customFormat="1" ht="31.5" customHeight="1">
      <c r="A189" s="378" t="s">
        <v>805</v>
      </c>
      <c r="B189" s="358" t="s">
        <v>514</v>
      </c>
      <c r="C189" s="358" t="s">
        <v>390</v>
      </c>
      <c r="D189" s="358" t="s">
        <v>390</v>
      </c>
      <c r="E189" s="358"/>
      <c r="F189" s="358"/>
      <c r="G189" s="358"/>
      <c r="H189" s="358"/>
      <c r="I189" s="358"/>
      <c r="J189" s="358"/>
      <c r="K189" s="358"/>
      <c r="L189" s="358"/>
      <c r="M189" s="358"/>
      <c r="N189" s="405">
        <f>N190</f>
        <v>3500</v>
      </c>
      <c r="O189" s="372">
        <f>O190</f>
        <v>4892.06</v>
      </c>
      <c r="P189" s="372">
        <f>P190</f>
        <v>4892.06</v>
      </c>
      <c r="Q189" s="595">
        <f t="shared" si="2"/>
        <v>1</v>
      </c>
    </row>
    <row r="190" spans="1:17" ht="32.25" customHeight="1">
      <c r="A190" s="62" t="s">
        <v>806</v>
      </c>
      <c r="B190" s="69" t="s">
        <v>514</v>
      </c>
      <c r="C190" s="48" t="s">
        <v>390</v>
      </c>
      <c r="D190" s="48" t="s">
        <v>390</v>
      </c>
      <c r="E190" s="48" t="s">
        <v>770</v>
      </c>
      <c r="F190" s="48" t="s">
        <v>548</v>
      </c>
      <c r="G190" s="48" t="s">
        <v>478</v>
      </c>
      <c r="H190" s="48" t="s">
        <v>770</v>
      </c>
      <c r="I190" s="48" t="s">
        <v>548</v>
      </c>
      <c r="J190" s="48" t="s">
        <v>770</v>
      </c>
      <c r="K190" s="48" t="s">
        <v>478</v>
      </c>
      <c r="L190" s="48" t="s">
        <v>369</v>
      </c>
      <c r="M190" s="72"/>
      <c r="N190" s="133">
        <v>3500</v>
      </c>
      <c r="O190" s="371">
        <v>4892.06</v>
      </c>
      <c r="P190" s="371">
        <v>4892.06</v>
      </c>
      <c r="Q190" s="595">
        <f t="shared" si="2"/>
        <v>1</v>
      </c>
    </row>
    <row r="191" spans="1:17" ht="60" customHeight="1" hidden="1">
      <c r="A191" s="414" t="s">
        <v>812</v>
      </c>
      <c r="B191" s="358" t="s">
        <v>514</v>
      </c>
      <c r="C191" s="358" t="s">
        <v>387</v>
      </c>
      <c r="D191" s="358" t="s">
        <v>252</v>
      </c>
      <c r="E191" s="379" t="s">
        <v>770</v>
      </c>
      <c r="F191" s="379" t="s">
        <v>470</v>
      </c>
      <c r="G191" s="379" t="s">
        <v>770</v>
      </c>
      <c r="H191" s="379" t="s">
        <v>770</v>
      </c>
      <c r="I191" s="379" t="s">
        <v>470</v>
      </c>
      <c r="J191" s="379" t="s">
        <v>770</v>
      </c>
      <c r="K191" s="379" t="s">
        <v>770</v>
      </c>
      <c r="L191" s="358" t="s">
        <v>369</v>
      </c>
      <c r="M191" s="358"/>
      <c r="N191" s="376">
        <f>N192+N194</f>
        <v>200</v>
      </c>
      <c r="O191" s="372">
        <f>O192+O194</f>
        <v>0</v>
      </c>
      <c r="P191" s="372"/>
      <c r="Q191" s="595" t="e">
        <f t="shared" si="2"/>
        <v>#DIV/0!</v>
      </c>
    </row>
    <row r="192" spans="1:17" ht="38.25" customHeight="1" hidden="1">
      <c r="A192" s="69" t="s">
        <v>813</v>
      </c>
      <c r="B192" s="72" t="s">
        <v>514</v>
      </c>
      <c r="C192" s="72" t="s">
        <v>387</v>
      </c>
      <c r="D192" s="72" t="s">
        <v>252</v>
      </c>
      <c r="E192" s="73" t="s">
        <v>770</v>
      </c>
      <c r="F192" s="73" t="s">
        <v>470</v>
      </c>
      <c r="G192" s="73" t="s">
        <v>528</v>
      </c>
      <c r="H192" s="73" t="s">
        <v>770</v>
      </c>
      <c r="I192" s="73" t="s">
        <v>470</v>
      </c>
      <c r="J192" s="73" t="s">
        <v>770</v>
      </c>
      <c r="K192" s="73" t="s">
        <v>528</v>
      </c>
      <c r="L192" s="72" t="s">
        <v>369</v>
      </c>
      <c r="M192" s="72"/>
      <c r="N192" s="133">
        <f>N193</f>
        <v>100</v>
      </c>
      <c r="O192" s="371">
        <f>O193</f>
        <v>0</v>
      </c>
      <c r="P192" s="371"/>
      <c r="Q192" s="595" t="e">
        <f t="shared" si="2"/>
        <v>#DIV/0!</v>
      </c>
    </row>
    <row r="193" spans="1:17" ht="38.25" customHeight="1" hidden="1">
      <c r="A193" s="51" t="s">
        <v>777</v>
      </c>
      <c r="B193" s="72" t="s">
        <v>514</v>
      </c>
      <c r="C193" s="72" t="s">
        <v>387</v>
      </c>
      <c r="D193" s="72" t="s">
        <v>252</v>
      </c>
      <c r="E193" s="73" t="s">
        <v>770</v>
      </c>
      <c r="F193" s="73" t="s">
        <v>470</v>
      </c>
      <c r="G193" s="73" t="s">
        <v>528</v>
      </c>
      <c r="H193" s="73" t="s">
        <v>770</v>
      </c>
      <c r="I193" s="73" t="s">
        <v>470</v>
      </c>
      <c r="J193" s="73" t="s">
        <v>770</v>
      </c>
      <c r="K193" s="73" t="s">
        <v>528</v>
      </c>
      <c r="L193" s="72" t="s">
        <v>778</v>
      </c>
      <c r="M193" s="72"/>
      <c r="N193" s="133">
        <v>100</v>
      </c>
      <c r="O193" s="371">
        <v>0</v>
      </c>
      <c r="P193" s="371"/>
      <c r="Q193" s="595" t="e">
        <f t="shared" si="2"/>
        <v>#DIV/0!</v>
      </c>
    </row>
    <row r="194" spans="1:17" ht="42" customHeight="1" hidden="1">
      <c r="A194" s="69" t="s">
        <v>814</v>
      </c>
      <c r="B194" s="72" t="s">
        <v>514</v>
      </c>
      <c r="C194" s="72" t="s">
        <v>387</v>
      </c>
      <c r="D194" s="72" t="s">
        <v>252</v>
      </c>
      <c r="E194" s="73" t="s">
        <v>770</v>
      </c>
      <c r="F194" s="73" t="s">
        <v>470</v>
      </c>
      <c r="G194" s="73" t="s">
        <v>478</v>
      </c>
      <c r="H194" s="73" t="s">
        <v>770</v>
      </c>
      <c r="I194" s="73" t="s">
        <v>470</v>
      </c>
      <c r="J194" s="73" t="s">
        <v>770</v>
      </c>
      <c r="K194" s="73" t="s">
        <v>478</v>
      </c>
      <c r="L194" s="72" t="s">
        <v>369</v>
      </c>
      <c r="M194" s="72"/>
      <c r="N194" s="133">
        <f>N195</f>
        <v>100</v>
      </c>
      <c r="O194" s="371">
        <f>O195</f>
        <v>0</v>
      </c>
      <c r="P194" s="371"/>
      <c r="Q194" s="595" t="e">
        <f t="shared" si="2"/>
        <v>#DIV/0!</v>
      </c>
    </row>
    <row r="195" spans="1:17" ht="39.75" customHeight="1" hidden="1">
      <c r="A195" s="51" t="s">
        <v>777</v>
      </c>
      <c r="B195" s="72" t="s">
        <v>514</v>
      </c>
      <c r="C195" s="72" t="s">
        <v>387</v>
      </c>
      <c r="D195" s="72" t="s">
        <v>252</v>
      </c>
      <c r="E195" s="73" t="s">
        <v>770</v>
      </c>
      <c r="F195" s="73" t="s">
        <v>470</v>
      </c>
      <c r="G195" s="73" t="s">
        <v>478</v>
      </c>
      <c r="H195" s="73" t="s">
        <v>770</v>
      </c>
      <c r="I195" s="73" t="s">
        <v>470</v>
      </c>
      <c r="J195" s="73" t="s">
        <v>770</v>
      </c>
      <c r="K195" s="73" t="s">
        <v>478</v>
      </c>
      <c r="L195" s="72" t="s">
        <v>778</v>
      </c>
      <c r="M195" s="72"/>
      <c r="N195" s="133">
        <v>100</v>
      </c>
      <c r="O195" s="371">
        <v>0</v>
      </c>
      <c r="P195" s="371"/>
      <c r="Q195" s="595" t="e">
        <f t="shared" si="2"/>
        <v>#DIV/0!</v>
      </c>
    </row>
    <row r="196" spans="1:17" s="79" customFormat="1" ht="52.5" customHeight="1" outlineLevel="2">
      <c r="A196" s="352" t="s">
        <v>815</v>
      </c>
      <c r="B196" s="353" t="s">
        <v>514</v>
      </c>
      <c r="C196" s="353" t="s">
        <v>386</v>
      </c>
      <c r="D196" s="353" t="s">
        <v>392</v>
      </c>
      <c r="E196" s="353" t="s">
        <v>770</v>
      </c>
      <c r="F196" s="353" t="s">
        <v>480</v>
      </c>
      <c r="G196" s="353"/>
      <c r="H196" s="353"/>
      <c r="I196" s="353"/>
      <c r="J196" s="353"/>
      <c r="K196" s="353"/>
      <c r="L196" s="353"/>
      <c r="M196" s="353"/>
      <c r="N196" s="359">
        <f>N197</f>
        <v>500</v>
      </c>
      <c r="O196" s="359">
        <f>O197</f>
        <v>562.25</v>
      </c>
      <c r="P196" s="359">
        <f>P197</f>
        <v>562.25</v>
      </c>
      <c r="Q196" s="595">
        <f t="shared" si="2"/>
        <v>1</v>
      </c>
    </row>
    <row r="197" spans="1:18" ht="57" customHeight="1" outlineLevel="2">
      <c r="A197" s="51" t="s">
        <v>816</v>
      </c>
      <c r="B197" s="48" t="s">
        <v>514</v>
      </c>
      <c r="C197" s="48" t="s">
        <v>386</v>
      </c>
      <c r="D197" s="48" t="s">
        <v>392</v>
      </c>
      <c r="E197" s="48" t="s">
        <v>770</v>
      </c>
      <c r="F197" s="48" t="s">
        <v>480</v>
      </c>
      <c r="G197" s="48" t="s">
        <v>770</v>
      </c>
      <c r="H197" s="48" t="s">
        <v>770</v>
      </c>
      <c r="I197" s="48" t="s">
        <v>480</v>
      </c>
      <c r="J197" s="48" t="s">
        <v>770</v>
      </c>
      <c r="K197" s="48" t="s">
        <v>770</v>
      </c>
      <c r="L197" s="48" t="s">
        <v>778</v>
      </c>
      <c r="M197" s="48"/>
      <c r="N197" s="49">
        <v>500</v>
      </c>
      <c r="O197" s="49">
        <v>562.25</v>
      </c>
      <c r="P197" s="49">
        <v>562.25</v>
      </c>
      <c r="Q197" s="595">
        <f t="shared" si="2"/>
        <v>1</v>
      </c>
      <c r="R197" s="54">
        <v>562.25</v>
      </c>
    </row>
    <row r="198" spans="1:18" s="79" customFormat="1" ht="57" customHeight="1" outlineLevel="2">
      <c r="A198" s="352" t="s">
        <v>817</v>
      </c>
      <c r="B198" s="353" t="s">
        <v>514</v>
      </c>
      <c r="C198" s="353" t="s">
        <v>253</v>
      </c>
      <c r="D198" s="353" t="s">
        <v>810</v>
      </c>
      <c r="E198" s="72" t="s">
        <v>770</v>
      </c>
      <c r="F198" s="72" t="s">
        <v>528</v>
      </c>
      <c r="G198" s="353"/>
      <c r="H198" s="353"/>
      <c r="I198" s="353"/>
      <c r="J198" s="353"/>
      <c r="K198" s="353"/>
      <c r="L198" s="353"/>
      <c r="M198" s="353"/>
      <c r="N198" s="359">
        <f>N204+N207+N233</f>
        <v>45150.840000000004</v>
      </c>
      <c r="O198" s="359">
        <f>O204+O207+O233</f>
        <v>40223.95</v>
      </c>
      <c r="P198" s="359">
        <f>P204+P207+P233</f>
        <v>37497.36</v>
      </c>
      <c r="Q198" s="595">
        <f t="shared" si="2"/>
        <v>0.932214762597905</v>
      </c>
      <c r="R198" s="412">
        <f>R197-O197</f>
        <v>0</v>
      </c>
    </row>
    <row r="199" spans="1:17" ht="30" hidden="1">
      <c r="A199" s="62" t="s">
        <v>818</v>
      </c>
      <c r="B199" s="72" t="s">
        <v>514</v>
      </c>
      <c r="C199" s="72" t="s">
        <v>388</v>
      </c>
      <c r="D199" s="72" t="s">
        <v>382</v>
      </c>
      <c r="E199" s="72"/>
      <c r="F199" s="72"/>
      <c r="G199" s="72"/>
      <c r="H199" s="72"/>
      <c r="I199" s="72"/>
      <c r="J199" s="72"/>
      <c r="K199" s="72"/>
      <c r="L199" s="72" t="s">
        <v>773</v>
      </c>
      <c r="M199" s="72"/>
      <c r="N199" s="133">
        <v>16451.71</v>
      </c>
      <c r="O199" s="371">
        <v>16451.71</v>
      </c>
      <c r="P199" s="371">
        <v>16451.71</v>
      </c>
      <c r="Q199" s="595">
        <f t="shared" si="2"/>
        <v>1</v>
      </c>
    </row>
    <row r="200" spans="1:17" ht="16.5" hidden="1">
      <c r="A200" s="62" t="s">
        <v>774</v>
      </c>
      <c r="B200" s="72" t="s">
        <v>514</v>
      </c>
      <c r="C200" s="72" t="s">
        <v>388</v>
      </c>
      <c r="D200" s="72" t="s">
        <v>382</v>
      </c>
      <c r="E200" s="72"/>
      <c r="F200" s="72"/>
      <c r="G200" s="72"/>
      <c r="H200" s="72"/>
      <c r="I200" s="72"/>
      <c r="J200" s="72"/>
      <c r="K200" s="72"/>
      <c r="L200" s="72" t="s">
        <v>635</v>
      </c>
      <c r="M200" s="72" t="s">
        <v>636</v>
      </c>
      <c r="N200" s="133">
        <v>12628.04</v>
      </c>
      <c r="O200" s="371">
        <v>12628.04</v>
      </c>
      <c r="P200" s="371">
        <v>12628.04</v>
      </c>
      <c r="Q200" s="595">
        <f t="shared" si="2"/>
        <v>1</v>
      </c>
    </row>
    <row r="201" spans="1:17" ht="16.5" hidden="1">
      <c r="A201" s="62" t="s">
        <v>775</v>
      </c>
      <c r="B201" s="72" t="s">
        <v>514</v>
      </c>
      <c r="C201" s="72" t="s">
        <v>388</v>
      </c>
      <c r="D201" s="72" t="s">
        <v>382</v>
      </c>
      <c r="E201" s="72"/>
      <c r="F201" s="72"/>
      <c r="G201" s="72"/>
      <c r="H201" s="72"/>
      <c r="I201" s="72"/>
      <c r="J201" s="72"/>
      <c r="K201" s="72"/>
      <c r="L201" s="72" t="s">
        <v>635</v>
      </c>
      <c r="M201" s="72" t="s">
        <v>637</v>
      </c>
      <c r="N201" s="133">
        <v>3813.67</v>
      </c>
      <c r="O201" s="371">
        <v>3813.67</v>
      </c>
      <c r="P201" s="371">
        <v>3813.67</v>
      </c>
      <c r="Q201" s="595">
        <f t="shared" si="2"/>
        <v>1</v>
      </c>
    </row>
    <row r="202" spans="1:17" ht="16.5" hidden="1">
      <c r="A202" s="62" t="s">
        <v>776</v>
      </c>
      <c r="B202" s="72" t="s">
        <v>514</v>
      </c>
      <c r="C202" s="72" t="s">
        <v>388</v>
      </c>
      <c r="D202" s="72" t="s">
        <v>382</v>
      </c>
      <c r="E202" s="72"/>
      <c r="F202" s="72"/>
      <c r="G202" s="72"/>
      <c r="H202" s="72"/>
      <c r="I202" s="72"/>
      <c r="J202" s="72"/>
      <c r="K202" s="72"/>
      <c r="L202" s="72" t="s">
        <v>661</v>
      </c>
      <c r="M202" s="72" t="s">
        <v>660</v>
      </c>
      <c r="N202" s="133">
        <v>10</v>
      </c>
      <c r="O202" s="371">
        <v>10</v>
      </c>
      <c r="P202" s="371">
        <v>10</v>
      </c>
      <c r="Q202" s="595">
        <f t="shared" si="2"/>
        <v>1</v>
      </c>
    </row>
    <row r="203" spans="1:17" ht="45" hidden="1">
      <c r="A203" s="62" t="s">
        <v>819</v>
      </c>
      <c r="B203" s="72" t="s">
        <v>514</v>
      </c>
      <c r="C203" s="72" t="s">
        <v>388</v>
      </c>
      <c r="D203" s="72" t="s">
        <v>382</v>
      </c>
      <c r="E203" s="72"/>
      <c r="F203" s="72"/>
      <c r="G203" s="72"/>
      <c r="H203" s="72"/>
      <c r="I203" s="72"/>
      <c r="J203" s="72"/>
      <c r="K203" s="72"/>
      <c r="L203" s="72" t="s">
        <v>434</v>
      </c>
      <c r="M203" s="72"/>
      <c r="N203" s="133">
        <v>759.58</v>
      </c>
      <c r="O203" s="371">
        <v>759.58</v>
      </c>
      <c r="P203" s="371">
        <v>759.58</v>
      </c>
      <c r="Q203" s="595">
        <f t="shared" si="2"/>
        <v>1</v>
      </c>
    </row>
    <row r="204" spans="1:17" ht="30.75" customHeight="1">
      <c r="A204" s="62" t="s">
        <v>818</v>
      </c>
      <c r="B204" s="72" t="s">
        <v>514</v>
      </c>
      <c r="C204" s="72" t="s">
        <v>388</v>
      </c>
      <c r="D204" s="72" t="s">
        <v>382</v>
      </c>
      <c r="E204" s="72" t="s">
        <v>770</v>
      </c>
      <c r="F204" s="72" t="s">
        <v>528</v>
      </c>
      <c r="G204" s="72" t="s">
        <v>528</v>
      </c>
      <c r="H204" s="72" t="s">
        <v>770</v>
      </c>
      <c r="I204" s="72" t="s">
        <v>528</v>
      </c>
      <c r="J204" s="72" t="s">
        <v>770</v>
      </c>
      <c r="K204" s="72" t="s">
        <v>528</v>
      </c>
      <c r="L204" s="72" t="s">
        <v>369</v>
      </c>
      <c r="M204" s="72"/>
      <c r="N204" s="133">
        <f>N205</f>
        <v>17346.29</v>
      </c>
      <c r="O204" s="371">
        <f>O205+O206</f>
        <v>13939.65</v>
      </c>
      <c r="P204" s="371">
        <f>P205+P206</f>
        <v>13939.65</v>
      </c>
      <c r="Q204" s="595">
        <f aca="true" t="shared" si="3" ref="Q204:Q267">P204/O204</f>
        <v>1</v>
      </c>
    </row>
    <row r="205" spans="1:17" ht="69" customHeight="1" outlineLevel="2">
      <c r="A205" s="62" t="s">
        <v>820</v>
      </c>
      <c r="B205" s="72" t="s">
        <v>514</v>
      </c>
      <c r="C205" s="72" t="s">
        <v>388</v>
      </c>
      <c r="D205" s="72" t="s">
        <v>382</v>
      </c>
      <c r="E205" s="72" t="s">
        <v>770</v>
      </c>
      <c r="F205" s="72" t="s">
        <v>479</v>
      </c>
      <c r="G205" s="72" t="s">
        <v>480</v>
      </c>
      <c r="H205" s="72" t="s">
        <v>770</v>
      </c>
      <c r="I205" s="72" t="s">
        <v>479</v>
      </c>
      <c r="J205" s="72" t="s">
        <v>480</v>
      </c>
      <c r="K205" s="72" t="s">
        <v>528</v>
      </c>
      <c r="L205" s="72" t="s">
        <v>434</v>
      </c>
      <c r="M205" s="48"/>
      <c r="N205" s="133">
        <v>17346.29</v>
      </c>
      <c r="O205" s="371">
        <v>13774.65</v>
      </c>
      <c r="P205" s="371">
        <v>13774.65</v>
      </c>
      <c r="Q205" s="595">
        <f t="shared" si="3"/>
        <v>1</v>
      </c>
    </row>
    <row r="206" spans="1:17" ht="69" customHeight="1" outlineLevel="2">
      <c r="A206" s="62" t="s">
        <v>820</v>
      </c>
      <c r="B206" s="72" t="s">
        <v>514</v>
      </c>
      <c r="C206" s="72" t="s">
        <v>388</v>
      </c>
      <c r="D206" s="72" t="s">
        <v>382</v>
      </c>
      <c r="E206" s="72" t="s">
        <v>770</v>
      </c>
      <c r="F206" s="72" t="s">
        <v>479</v>
      </c>
      <c r="G206" s="72" t="s">
        <v>480</v>
      </c>
      <c r="H206" s="72" t="s">
        <v>770</v>
      </c>
      <c r="I206" s="72" t="s">
        <v>479</v>
      </c>
      <c r="J206" s="72" t="s">
        <v>480</v>
      </c>
      <c r="K206" s="72" t="s">
        <v>528</v>
      </c>
      <c r="L206" s="72" t="s">
        <v>434</v>
      </c>
      <c r="M206" s="48"/>
      <c r="N206" s="133"/>
      <c r="O206" s="371">
        <v>165</v>
      </c>
      <c r="P206" s="371">
        <v>165</v>
      </c>
      <c r="Q206" s="595">
        <f t="shared" si="3"/>
        <v>1</v>
      </c>
    </row>
    <row r="207" spans="1:17" ht="57" customHeight="1" outlineLevel="2">
      <c r="A207" s="51" t="s">
        <v>821</v>
      </c>
      <c r="B207" s="72" t="s">
        <v>514</v>
      </c>
      <c r="C207" s="72" t="s">
        <v>253</v>
      </c>
      <c r="D207" s="72" t="s">
        <v>386</v>
      </c>
      <c r="E207" s="72" t="s">
        <v>770</v>
      </c>
      <c r="F207" s="72" t="s">
        <v>479</v>
      </c>
      <c r="G207" s="72" t="s">
        <v>478</v>
      </c>
      <c r="H207" s="72" t="s">
        <v>770</v>
      </c>
      <c r="I207" s="72" t="s">
        <v>479</v>
      </c>
      <c r="J207" s="72" t="s">
        <v>770</v>
      </c>
      <c r="K207" s="72" t="s">
        <v>528</v>
      </c>
      <c r="L207" s="72" t="s">
        <v>369</v>
      </c>
      <c r="M207" s="48"/>
      <c r="N207" s="359">
        <f>N227+N228+N229+N231</f>
        <v>13838.4</v>
      </c>
      <c r="O207" s="359">
        <f>O227+O228+O229+O231+O232+O230</f>
        <v>16241.710000000001</v>
      </c>
      <c r="P207" s="359">
        <f>P227+P228+P229+P231+P232+P230</f>
        <v>14836.150000000001</v>
      </c>
      <c r="Q207" s="595">
        <f t="shared" si="3"/>
        <v>0.9134598512102482</v>
      </c>
    </row>
    <row r="208" spans="1:17" ht="30" hidden="1">
      <c r="A208" s="62" t="s">
        <v>822</v>
      </c>
      <c r="B208" s="72" t="s">
        <v>514</v>
      </c>
      <c r="C208" s="72" t="s">
        <v>253</v>
      </c>
      <c r="D208" s="72" t="s">
        <v>386</v>
      </c>
      <c r="E208" s="72"/>
      <c r="F208" s="72"/>
      <c r="G208" s="72"/>
      <c r="H208" s="72"/>
      <c r="I208" s="72"/>
      <c r="J208" s="72"/>
      <c r="K208" s="72"/>
      <c r="L208" s="72" t="s">
        <v>773</v>
      </c>
      <c r="M208" s="72"/>
      <c r="N208" s="133">
        <v>8223.78</v>
      </c>
      <c r="O208" s="371">
        <v>8223.78</v>
      </c>
      <c r="P208" s="371"/>
      <c r="Q208" s="595">
        <f t="shared" si="3"/>
        <v>0</v>
      </c>
    </row>
    <row r="209" spans="1:17" ht="16.5" hidden="1">
      <c r="A209" s="62" t="s">
        <v>774</v>
      </c>
      <c r="B209" s="72" t="s">
        <v>514</v>
      </c>
      <c r="C209" s="72" t="s">
        <v>253</v>
      </c>
      <c r="D209" s="72" t="s">
        <v>386</v>
      </c>
      <c r="E209" s="72"/>
      <c r="F209" s="72"/>
      <c r="G209" s="72"/>
      <c r="H209" s="72"/>
      <c r="I209" s="72"/>
      <c r="J209" s="72"/>
      <c r="K209" s="72"/>
      <c r="L209" s="72" t="s">
        <v>635</v>
      </c>
      <c r="M209" s="72" t="s">
        <v>636</v>
      </c>
      <c r="N209" s="133">
        <v>6299.68</v>
      </c>
      <c r="O209" s="371">
        <v>6299.68</v>
      </c>
      <c r="P209" s="371"/>
      <c r="Q209" s="595">
        <f t="shared" si="3"/>
        <v>0</v>
      </c>
    </row>
    <row r="210" spans="1:17" ht="16.5" hidden="1">
      <c r="A210" s="62" t="s">
        <v>775</v>
      </c>
      <c r="B210" s="72" t="s">
        <v>514</v>
      </c>
      <c r="C210" s="72" t="s">
        <v>253</v>
      </c>
      <c r="D210" s="72" t="s">
        <v>386</v>
      </c>
      <c r="E210" s="72"/>
      <c r="F210" s="72"/>
      <c r="G210" s="72"/>
      <c r="H210" s="72"/>
      <c r="I210" s="72"/>
      <c r="J210" s="72"/>
      <c r="K210" s="72"/>
      <c r="L210" s="72" t="s">
        <v>635</v>
      </c>
      <c r="M210" s="72" t="s">
        <v>637</v>
      </c>
      <c r="N210" s="133">
        <v>1902.5</v>
      </c>
      <c r="O210" s="371">
        <v>1902.5</v>
      </c>
      <c r="P210" s="371"/>
      <c r="Q210" s="595">
        <f t="shared" si="3"/>
        <v>0</v>
      </c>
    </row>
    <row r="211" spans="1:17" ht="16.5" hidden="1">
      <c r="A211" s="62" t="s">
        <v>776</v>
      </c>
      <c r="B211" s="72" t="s">
        <v>514</v>
      </c>
      <c r="C211" s="72" t="s">
        <v>253</v>
      </c>
      <c r="D211" s="72" t="s">
        <v>386</v>
      </c>
      <c r="E211" s="72"/>
      <c r="F211" s="72"/>
      <c r="G211" s="72"/>
      <c r="H211" s="72"/>
      <c r="I211" s="72"/>
      <c r="J211" s="72"/>
      <c r="K211" s="72"/>
      <c r="L211" s="72" t="s">
        <v>661</v>
      </c>
      <c r="M211" s="72" t="s">
        <v>660</v>
      </c>
      <c r="N211" s="133">
        <v>21.6</v>
      </c>
      <c r="O211" s="371">
        <v>21.6</v>
      </c>
      <c r="P211" s="371"/>
      <c r="Q211" s="595">
        <f t="shared" si="3"/>
        <v>0</v>
      </c>
    </row>
    <row r="212" spans="1:17" ht="45" hidden="1">
      <c r="A212" s="62" t="s">
        <v>819</v>
      </c>
      <c r="B212" s="72" t="s">
        <v>514</v>
      </c>
      <c r="C212" s="72" t="s">
        <v>253</v>
      </c>
      <c r="D212" s="72" t="s">
        <v>386</v>
      </c>
      <c r="E212" s="72"/>
      <c r="F212" s="72"/>
      <c r="G212" s="72"/>
      <c r="H212" s="72"/>
      <c r="I212" s="72"/>
      <c r="J212" s="72"/>
      <c r="K212" s="72"/>
      <c r="L212" s="72" t="s">
        <v>434</v>
      </c>
      <c r="M212" s="72"/>
      <c r="N212" s="133">
        <v>1765.62</v>
      </c>
      <c r="O212" s="371">
        <v>1765.62</v>
      </c>
      <c r="P212" s="371"/>
      <c r="Q212" s="595">
        <f t="shared" si="3"/>
        <v>0</v>
      </c>
    </row>
    <row r="213" spans="1:17" ht="16.5" hidden="1">
      <c r="A213" s="62" t="s">
        <v>779</v>
      </c>
      <c r="B213" s="72" t="s">
        <v>514</v>
      </c>
      <c r="C213" s="72" t="s">
        <v>253</v>
      </c>
      <c r="D213" s="72" t="s">
        <v>386</v>
      </c>
      <c r="E213" s="72"/>
      <c r="F213" s="72"/>
      <c r="G213" s="72"/>
      <c r="H213" s="72"/>
      <c r="I213" s="72"/>
      <c r="J213" s="72"/>
      <c r="K213" s="72"/>
      <c r="L213" s="72" t="s">
        <v>719</v>
      </c>
      <c r="M213" s="72" t="s">
        <v>640</v>
      </c>
      <c r="N213" s="133">
        <v>43.05</v>
      </c>
      <c r="O213" s="371">
        <v>43.05</v>
      </c>
      <c r="P213" s="371"/>
      <c r="Q213" s="595">
        <f t="shared" si="3"/>
        <v>0</v>
      </c>
    </row>
    <row r="214" spans="1:17" ht="16.5" hidden="1">
      <c r="A214" s="62" t="s">
        <v>780</v>
      </c>
      <c r="B214" s="72" t="s">
        <v>514</v>
      </c>
      <c r="C214" s="72" t="s">
        <v>253</v>
      </c>
      <c r="D214" s="72" t="s">
        <v>386</v>
      </c>
      <c r="E214" s="72"/>
      <c r="F214" s="72"/>
      <c r="G214" s="72"/>
      <c r="H214" s="72"/>
      <c r="I214" s="72"/>
      <c r="J214" s="72"/>
      <c r="K214" s="72"/>
      <c r="L214" s="72" t="s">
        <v>719</v>
      </c>
      <c r="M214" s="72" t="s">
        <v>641</v>
      </c>
      <c r="N214" s="133">
        <v>151.57</v>
      </c>
      <c r="O214" s="371">
        <v>151.57</v>
      </c>
      <c r="P214" s="371"/>
      <c r="Q214" s="595">
        <f t="shared" si="3"/>
        <v>0</v>
      </c>
    </row>
    <row r="215" spans="1:17" ht="16.5" hidden="1">
      <c r="A215" s="62" t="s">
        <v>781</v>
      </c>
      <c r="B215" s="72" t="s">
        <v>514</v>
      </c>
      <c r="C215" s="72" t="s">
        <v>253</v>
      </c>
      <c r="D215" s="72" t="s">
        <v>386</v>
      </c>
      <c r="E215" s="72"/>
      <c r="F215" s="72"/>
      <c r="G215" s="72"/>
      <c r="H215" s="72"/>
      <c r="I215" s="72"/>
      <c r="J215" s="72"/>
      <c r="K215" s="72"/>
      <c r="L215" s="72" t="s">
        <v>719</v>
      </c>
      <c r="M215" s="72" t="s">
        <v>642</v>
      </c>
      <c r="N215" s="133">
        <v>167.47</v>
      </c>
      <c r="O215" s="371">
        <v>167.47</v>
      </c>
      <c r="P215" s="371"/>
      <c r="Q215" s="595">
        <f t="shared" si="3"/>
        <v>0</v>
      </c>
    </row>
    <row r="216" spans="1:17" ht="16.5" hidden="1">
      <c r="A216" s="62" t="s">
        <v>782</v>
      </c>
      <c r="B216" s="72" t="s">
        <v>514</v>
      </c>
      <c r="C216" s="72" t="s">
        <v>253</v>
      </c>
      <c r="D216" s="72" t="s">
        <v>386</v>
      </c>
      <c r="E216" s="72"/>
      <c r="F216" s="72"/>
      <c r="G216" s="72"/>
      <c r="H216" s="72"/>
      <c r="I216" s="72"/>
      <c r="J216" s="72"/>
      <c r="K216" s="72"/>
      <c r="L216" s="72" t="s">
        <v>719</v>
      </c>
      <c r="M216" s="72" t="s">
        <v>643</v>
      </c>
      <c r="N216" s="133"/>
      <c r="O216" s="371"/>
      <c r="P216" s="371"/>
      <c r="Q216" s="595" t="e">
        <f t="shared" si="3"/>
        <v>#DIV/0!</v>
      </c>
    </row>
    <row r="217" spans="1:17" ht="16.5" hidden="1">
      <c r="A217" s="62" t="s">
        <v>783</v>
      </c>
      <c r="B217" s="72" t="s">
        <v>514</v>
      </c>
      <c r="C217" s="72" t="s">
        <v>253</v>
      </c>
      <c r="D217" s="72" t="s">
        <v>386</v>
      </c>
      <c r="E217" s="72"/>
      <c r="F217" s="72"/>
      <c r="G217" s="72"/>
      <c r="H217" s="72"/>
      <c r="I217" s="72"/>
      <c r="J217" s="72"/>
      <c r="K217" s="72"/>
      <c r="L217" s="72" t="s">
        <v>719</v>
      </c>
      <c r="M217" s="72" t="s">
        <v>644</v>
      </c>
      <c r="N217" s="133">
        <v>449.13</v>
      </c>
      <c r="O217" s="371">
        <v>449.13</v>
      </c>
      <c r="P217" s="371"/>
      <c r="Q217" s="595">
        <f t="shared" si="3"/>
        <v>0</v>
      </c>
    </row>
    <row r="218" spans="1:17" ht="16.5" hidden="1">
      <c r="A218" s="62" t="s">
        <v>784</v>
      </c>
      <c r="B218" s="72" t="s">
        <v>514</v>
      </c>
      <c r="C218" s="72" t="s">
        <v>253</v>
      </c>
      <c r="D218" s="72" t="s">
        <v>386</v>
      </c>
      <c r="E218" s="72"/>
      <c r="F218" s="72"/>
      <c r="G218" s="72"/>
      <c r="H218" s="72"/>
      <c r="I218" s="72"/>
      <c r="J218" s="72"/>
      <c r="K218" s="72"/>
      <c r="L218" s="72" t="s">
        <v>719</v>
      </c>
      <c r="M218" s="72" t="s">
        <v>645</v>
      </c>
      <c r="N218" s="133">
        <v>791.64</v>
      </c>
      <c r="O218" s="371">
        <v>791.64</v>
      </c>
      <c r="P218" s="371"/>
      <c r="Q218" s="595">
        <f t="shared" si="3"/>
        <v>0</v>
      </c>
    </row>
    <row r="219" spans="1:17" ht="16.5" hidden="1">
      <c r="A219" s="62" t="s">
        <v>785</v>
      </c>
      <c r="B219" s="72" t="s">
        <v>514</v>
      </c>
      <c r="C219" s="72" t="s">
        <v>253</v>
      </c>
      <c r="D219" s="72" t="s">
        <v>386</v>
      </c>
      <c r="E219" s="72"/>
      <c r="F219" s="72"/>
      <c r="G219" s="72"/>
      <c r="H219" s="72"/>
      <c r="I219" s="72"/>
      <c r="J219" s="72"/>
      <c r="K219" s="72"/>
      <c r="L219" s="72" t="s">
        <v>719</v>
      </c>
      <c r="M219" s="72" t="s">
        <v>646</v>
      </c>
      <c r="N219" s="133">
        <v>20</v>
      </c>
      <c r="O219" s="371">
        <v>20</v>
      </c>
      <c r="P219" s="371"/>
      <c r="Q219" s="595">
        <f t="shared" si="3"/>
        <v>0</v>
      </c>
    </row>
    <row r="220" spans="1:17" ht="16.5" hidden="1">
      <c r="A220" s="62" t="s">
        <v>786</v>
      </c>
      <c r="B220" s="72" t="s">
        <v>514</v>
      </c>
      <c r="C220" s="72" t="s">
        <v>253</v>
      </c>
      <c r="D220" s="72" t="s">
        <v>386</v>
      </c>
      <c r="E220" s="72"/>
      <c r="F220" s="72"/>
      <c r="G220" s="72"/>
      <c r="H220" s="72"/>
      <c r="I220" s="72"/>
      <c r="J220" s="72"/>
      <c r="K220" s="72"/>
      <c r="L220" s="72" t="s">
        <v>719</v>
      </c>
      <c r="M220" s="72" t="s">
        <v>647</v>
      </c>
      <c r="N220" s="133">
        <v>45</v>
      </c>
      <c r="O220" s="371">
        <v>45</v>
      </c>
      <c r="P220" s="371"/>
      <c r="Q220" s="595">
        <f t="shared" si="3"/>
        <v>0</v>
      </c>
    </row>
    <row r="221" spans="1:17" ht="16.5" hidden="1">
      <c r="A221" s="62" t="s">
        <v>787</v>
      </c>
      <c r="B221" s="72" t="s">
        <v>514</v>
      </c>
      <c r="C221" s="72" t="s">
        <v>253</v>
      </c>
      <c r="D221" s="72" t="s">
        <v>386</v>
      </c>
      <c r="E221" s="72"/>
      <c r="F221" s="72"/>
      <c r="G221" s="72"/>
      <c r="H221" s="72"/>
      <c r="I221" s="72"/>
      <c r="J221" s="72"/>
      <c r="K221" s="72"/>
      <c r="L221" s="72" t="s">
        <v>719</v>
      </c>
      <c r="M221" s="72" t="s">
        <v>648</v>
      </c>
      <c r="N221" s="133">
        <v>97.76</v>
      </c>
      <c r="O221" s="371">
        <v>97.76</v>
      </c>
      <c r="P221" s="371"/>
      <c r="Q221" s="595">
        <f t="shared" si="3"/>
        <v>0</v>
      </c>
    </row>
    <row r="222" spans="1:17" ht="16.5" hidden="1">
      <c r="A222" s="6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133"/>
      <c r="O222" s="371"/>
      <c r="P222" s="371"/>
      <c r="Q222" s="595" t="e">
        <f t="shared" si="3"/>
        <v>#DIV/0!</v>
      </c>
    </row>
    <row r="223" spans="1:17" ht="16.5" hidden="1">
      <c r="A223" s="6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133"/>
      <c r="O223" s="371"/>
      <c r="P223" s="371"/>
      <c r="Q223" s="595" t="e">
        <f t="shared" si="3"/>
        <v>#DIV/0!</v>
      </c>
    </row>
    <row r="224" spans="1:17" ht="16.5" hidden="1">
      <c r="A224" s="6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133"/>
      <c r="O224" s="371"/>
      <c r="P224" s="371"/>
      <c r="Q224" s="595" t="e">
        <f t="shared" si="3"/>
        <v>#DIV/0!</v>
      </c>
    </row>
    <row r="225" spans="1:17" ht="16.5" hidden="1">
      <c r="A225" s="6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133"/>
      <c r="O225" s="371"/>
      <c r="P225" s="371"/>
      <c r="Q225" s="595" t="e">
        <f t="shared" si="3"/>
        <v>#DIV/0!</v>
      </c>
    </row>
    <row r="226" spans="1:17" ht="16.5" hidden="1">
      <c r="A226" s="62" t="s">
        <v>155</v>
      </c>
      <c r="B226" s="72" t="s">
        <v>514</v>
      </c>
      <c r="C226" s="72" t="s">
        <v>253</v>
      </c>
      <c r="D226" s="72" t="s">
        <v>386</v>
      </c>
      <c r="E226" s="72"/>
      <c r="F226" s="72"/>
      <c r="G226" s="72"/>
      <c r="H226" s="72"/>
      <c r="I226" s="72"/>
      <c r="J226" s="72"/>
      <c r="K226" s="72"/>
      <c r="L226" s="72" t="s">
        <v>434</v>
      </c>
      <c r="M226" s="72"/>
      <c r="N226" s="133">
        <v>544.8</v>
      </c>
      <c r="O226" s="371">
        <v>544.8</v>
      </c>
      <c r="P226" s="371"/>
      <c r="Q226" s="595">
        <f t="shared" si="3"/>
        <v>0</v>
      </c>
    </row>
    <row r="227" spans="1:19" ht="69.75" customHeight="1">
      <c r="A227" s="62" t="s">
        <v>823</v>
      </c>
      <c r="B227" s="72" t="s">
        <v>514</v>
      </c>
      <c r="C227" s="72" t="s">
        <v>253</v>
      </c>
      <c r="D227" s="72" t="s">
        <v>386</v>
      </c>
      <c r="E227" s="72" t="s">
        <v>770</v>
      </c>
      <c r="F227" s="72" t="s">
        <v>479</v>
      </c>
      <c r="G227" s="72" t="s">
        <v>478</v>
      </c>
      <c r="H227" s="72" t="s">
        <v>770</v>
      </c>
      <c r="I227" s="72" t="s">
        <v>479</v>
      </c>
      <c r="J227" s="72" t="s">
        <v>770</v>
      </c>
      <c r="K227" s="72" t="s">
        <v>528</v>
      </c>
      <c r="L227" s="72" t="s">
        <v>434</v>
      </c>
      <c r="M227" s="72"/>
      <c r="N227" s="133">
        <f>9989.4+600+54</f>
        <v>10643.4</v>
      </c>
      <c r="O227" s="371">
        <v>13397.1</v>
      </c>
      <c r="P227" s="371">
        <v>11991.54</v>
      </c>
      <c r="Q227" s="595">
        <f t="shared" si="3"/>
        <v>0.8950847571489352</v>
      </c>
      <c r="R227" s="80">
        <f>N227+N228+N229+N231+N232+N234+N237+N238+N239+N241+N243+N390</f>
        <v>28327.55</v>
      </c>
      <c r="S227" s="80">
        <f>O227+O228+O229+O231+O232+O234+O237+O238+O239+O241+O243+O390</f>
        <v>27555.300000000003</v>
      </c>
    </row>
    <row r="228" spans="1:17" ht="32.25" customHeight="1">
      <c r="A228" s="62" t="s">
        <v>824</v>
      </c>
      <c r="B228" s="72" t="s">
        <v>514</v>
      </c>
      <c r="C228" s="72" t="s">
        <v>253</v>
      </c>
      <c r="D228" s="72" t="s">
        <v>386</v>
      </c>
      <c r="E228" s="72" t="s">
        <v>770</v>
      </c>
      <c r="F228" s="72" t="s">
        <v>479</v>
      </c>
      <c r="G228" s="72" t="s">
        <v>478</v>
      </c>
      <c r="H228" s="72" t="s">
        <v>770</v>
      </c>
      <c r="I228" s="72" t="s">
        <v>479</v>
      </c>
      <c r="J228" s="72" t="s">
        <v>770</v>
      </c>
      <c r="K228" s="72" t="s">
        <v>528</v>
      </c>
      <c r="L228" s="72" t="s">
        <v>482</v>
      </c>
      <c r="M228" s="72"/>
      <c r="N228" s="133">
        <v>2400</v>
      </c>
      <c r="O228" s="371">
        <v>2174.61</v>
      </c>
      <c r="P228" s="371">
        <v>2174.61</v>
      </c>
      <c r="Q228" s="595">
        <f t="shared" si="3"/>
        <v>1</v>
      </c>
    </row>
    <row r="229" spans="1:17" ht="60">
      <c r="A229" s="62" t="s">
        <v>825</v>
      </c>
      <c r="B229" s="72" t="s">
        <v>514</v>
      </c>
      <c r="C229" s="72" t="s">
        <v>253</v>
      </c>
      <c r="D229" s="72" t="s">
        <v>386</v>
      </c>
      <c r="E229" s="73" t="s">
        <v>770</v>
      </c>
      <c r="F229" s="73" t="s">
        <v>479</v>
      </c>
      <c r="G229" s="73" t="s">
        <v>478</v>
      </c>
      <c r="H229" s="73" t="s">
        <v>770</v>
      </c>
      <c r="I229" s="73" t="s">
        <v>479</v>
      </c>
      <c r="J229" s="73" t="s">
        <v>770</v>
      </c>
      <c r="K229" s="73" t="s">
        <v>478</v>
      </c>
      <c r="L229" s="73" t="s">
        <v>434</v>
      </c>
      <c r="M229" s="72"/>
      <c r="N229" s="133">
        <v>427</v>
      </c>
      <c r="O229" s="371">
        <v>327</v>
      </c>
      <c r="P229" s="371">
        <v>327</v>
      </c>
      <c r="Q229" s="595">
        <f t="shared" si="3"/>
        <v>1</v>
      </c>
    </row>
    <row r="230" spans="1:17" ht="16.5">
      <c r="A230" s="62"/>
      <c r="B230" s="72" t="s">
        <v>514</v>
      </c>
      <c r="C230" s="72" t="s">
        <v>253</v>
      </c>
      <c r="D230" s="72" t="s">
        <v>386</v>
      </c>
      <c r="E230" s="73" t="s">
        <v>770</v>
      </c>
      <c r="F230" s="73" t="s">
        <v>479</v>
      </c>
      <c r="G230" s="73" t="s">
        <v>528</v>
      </c>
      <c r="H230" s="73" t="s">
        <v>770</v>
      </c>
      <c r="I230" s="73" t="s">
        <v>479</v>
      </c>
      <c r="J230" s="73" t="s">
        <v>770</v>
      </c>
      <c r="K230" s="73" t="s">
        <v>528</v>
      </c>
      <c r="L230" s="73" t="s">
        <v>434</v>
      </c>
      <c r="M230" s="72"/>
      <c r="N230" s="133"/>
      <c r="O230" s="371">
        <v>113</v>
      </c>
      <c r="P230" s="371">
        <v>113</v>
      </c>
      <c r="Q230" s="595">
        <f t="shared" si="3"/>
        <v>1</v>
      </c>
    </row>
    <row r="231" spans="1:17" ht="75">
      <c r="A231" s="62" t="s">
        <v>826</v>
      </c>
      <c r="B231" s="72" t="s">
        <v>514</v>
      </c>
      <c r="C231" s="72" t="s">
        <v>253</v>
      </c>
      <c r="D231" s="72" t="s">
        <v>386</v>
      </c>
      <c r="E231" s="72" t="s">
        <v>770</v>
      </c>
      <c r="F231" s="72" t="s">
        <v>552</v>
      </c>
      <c r="G231" s="72" t="s">
        <v>480</v>
      </c>
      <c r="H231" s="72" t="s">
        <v>481</v>
      </c>
      <c r="I231" s="72" t="s">
        <v>770</v>
      </c>
      <c r="J231" s="72" t="s">
        <v>479</v>
      </c>
      <c r="K231" s="72" t="s">
        <v>478</v>
      </c>
      <c r="L231" s="72" t="s">
        <v>434</v>
      </c>
      <c r="M231" s="72"/>
      <c r="N231" s="133">
        <v>368</v>
      </c>
      <c r="O231" s="371">
        <v>130</v>
      </c>
      <c r="P231" s="371">
        <v>130</v>
      </c>
      <c r="Q231" s="595">
        <f t="shared" si="3"/>
        <v>1</v>
      </c>
    </row>
    <row r="232" spans="1:17" ht="52.5" customHeight="1">
      <c r="A232" s="62" t="s">
        <v>967</v>
      </c>
      <c r="B232" s="72" t="s">
        <v>514</v>
      </c>
      <c r="C232" s="72" t="s">
        <v>253</v>
      </c>
      <c r="D232" s="72" t="s">
        <v>386</v>
      </c>
      <c r="E232" s="72" t="s">
        <v>770</v>
      </c>
      <c r="F232" s="72" t="s">
        <v>552</v>
      </c>
      <c r="G232" s="72" t="s">
        <v>789</v>
      </c>
      <c r="H232" s="72" t="s">
        <v>470</v>
      </c>
      <c r="I232" s="72" t="s">
        <v>528</v>
      </c>
      <c r="J232" s="72" t="s">
        <v>480</v>
      </c>
      <c r="K232" s="72" t="s">
        <v>546</v>
      </c>
      <c r="L232" s="72" t="s">
        <v>434</v>
      </c>
      <c r="M232" s="72"/>
      <c r="N232" s="133">
        <v>0</v>
      </c>
      <c r="O232" s="371">
        <v>100</v>
      </c>
      <c r="P232" s="371">
        <v>100</v>
      </c>
      <c r="Q232" s="595">
        <f t="shared" si="3"/>
        <v>1</v>
      </c>
    </row>
    <row r="233" spans="1:17" ht="30">
      <c r="A233" s="62" t="s">
        <v>827</v>
      </c>
      <c r="B233" s="72" t="s">
        <v>514</v>
      </c>
      <c r="C233" s="72" t="s">
        <v>253</v>
      </c>
      <c r="D233" s="72" t="s">
        <v>386</v>
      </c>
      <c r="E233" s="72" t="s">
        <v>770</v>
      </c>
      <c r="F233" s="72" t="s">
        <v>479</v>
      </c>
      <c r="G233" s="72" t="s">
        <v>528</v>
      </c>
      <c r="H233" s="72" t="s">
        <v>770</v>
      </c>
      <c r="I233" s="72" t="s">
        <v>479</v>
      </c>
      <c r="J233" s="72" t="s">
        <v>770</v>
      </c>
      <c r="K233" s="72" t="s">
        <v>478</v>
      </c>
      <c r="L233" s="72" t="s">
        <v>369</v>
      </c>
      <c r="M233" s="72"/>
      <c r="N233" s="133">
        <f>N234+N235+N239</f>
        <v>13966.150000000001</v>
      </c>
      <c r="O233" s="371">
        <v>10042.59</v>
      </c>
      <c r="P233" s="371">
        <v>8721.56</v>
      </c>
      <c r="Q233" s="595">
        <f t="shared" si="3"/>
        <v>0.8684572406122324</v>
      </c>
    </row>
    <row r="234" spans="1:17" ht="45">
      <c r="A234" s="62" t="s">
        <v>828</v>
      </c>
      <c r="B234" s="72" t="s">
        <v>514</v>
      </c>
      <c r="C234" s="72" t="s">
        <v>253</v>
      </c>
      <c r="D234" s="72" t="s">
        <v>386</v>
      </c>
      <c r="E234" s="72" t="s">
        <v>770</v>
      </c>
      <c r="F234" s="72" t="s">
        <v>479</v>
      </c>
      <c r="G234" s="72" t="s">
        <v>528</v>
      </c>
      <c r="H234" s="72" t="s">
        <v>770</v>
      </c>
      <c r="I234" s="72" t="s">
        <v>479</v>
      </c>
      <c r="J234" s="72" t="s">
        <v>770</v>
      </c>
      <c r="K234" s="72" t="s">
        <v>478</v>
      </c>
      <c r="L234" s="72" t="s">
        <v>434</v>
      </c>
      <c r="M234" s="72"/>
      <c r="N234" s="133">
        <f>13775.45+36</f>
        <v>13811.45</v>
      </c>
      <c r="O234" s="371">
        <v>10042.59</v>
      </c>
      <c r="P234" s="371">
        <v>8721.56</v>
      </c>
      <c r="Q234" s="595">
        <f t="shared" si="3"/>
        <v>0.8684572406122324</v>
      </c>
    </row>
    <row r="235" spans="1:17" ht="16.5">
      <c r="A235" s="51" t="s">
        <v>829</v>
      </c>
      <c r="B235" s="72" t="s">
        <v>514</v>
      </c>
      <c r="C235" s="72" t="s">
        <v>253</v>
      </c>
      <c r="D235" s="72" t="s">
        <v>386</v>
      </c>
      <c r="E235" s="404"/>
      <c r="F235" s="404"/>
      <c r="G235" s="404"/>
      <c r="H235" s="404"/>
      <c r="I235" s="404"/>
      <c r="J235" s="404"/>
      <c r="K235" s="404"/>
      <c r="L235" s="72" t="s">
        <v>369</v>
      </c>
      <c r="M235" s="72"/>
      <c r="N235" s="133">
        <f>N237+N238</f>
        <v>83.2</v>
      </c>
      <c r="O235" s="371">
        <f>O237+O238</f>
        <v>159.9</v>
      </c>
      <c r="P235" s="371">
        <f>P237+P238</f>
        <v>159.9</v>
      </c>
      <c r="Q235" s="595">
        <f t="shared" si="3"/>
        <v>1</v>
      </c>
    </row>
    <row r="236" spans="1:17" ht="15" customHeight="1" hidden="1">
      <c r="A236" s="62" t="s">
        <v>786</v>
      </c>
      <c r="B236" s="72" t="s">
        <v>514</v>
      </c>
      <c r="C236" s="72" t="s">
        <v>253</v>
      </c>
      <c r="D236" s="72" t="s">
        <v>386</v>
      </c>
      <c r="E236" s="404"/>
      <c r="F236" s="404"/>
      <c r="G236" s="404"/>
      <c r="H236" s="404"/>
      <c r="I236" s="404"/>
      <c r="J236" s="404"/>
      <c r="K236" s="404"/>
      <c r="L236" s="72" t="s">
        <v>434</v>
      </c>
      <c r="M236" s="72" t="s">
        <v>647</v>
      </c>
      <c r="N236" s="133">
        <v>236.1</v>
      </c>
      <c r="O236" s="371">
        <v>236.1</v>
      </c>
      <c r="P236" s="371"/>
      <c r="Q236" s="595">
        <f t="shared" si="3"/>
        <v>0</v>
      </c>
    </row>
    <row r="237" spans="1:17" ht="30">
      <c r="A237" s="62" t="s">
        <v>830</v>
      </c>
      <c r="B237" s="72" t="s">
        <v>514</v>
      </c>
      <c r="C237" s="72" t="s">
        <v>253</v>
      </c>
      <c r="D237" s="72" t="s">
        <v>386</v>
      </c>
      <c r="E237" s="404" t="s">
        <v>770</v>
      </c>
      <c r="F237" s="404" t="s">
        <v>552</v>
      </c>
      <c r="G237" s="404" t="s">
        <v>789</v>
      </c>
      <c r="H237" s="404" t="s">
        <v>470</v>
      </c>
      <c r="I237" s="404" t="s">
        <v>528</v>
      </c>
      <c r="J237" s="404" t="s">
        <v>480</v>
      </c>
      <c r="K237" s="404" t="s">
        <v>480</v>
      </c>
      <c r="L237" s="72" t="s">
        <v>434</v>
      </c>
      <c r="M237" s="72"/>
      <c r="N237" s="133">
        <v>33.2</v>
      </c>
      <c r="O237" s="371">
        <v>29.9</v>
      </c>
      <c r="P237" s="371">
        <v>29.9</v>
      </c>
      <c r="Q237" s="595">
        <f t="shared" si="3"/>
        <v>1</v>
      </c>
    </row>
    <row r="238" spans="1:17" ht="16.5">
      <c r="A238" s="62"/>
      <c r="B238" s="72" t="s">
        <v>514</v>
      </c>
      <c r="C238" s="72" t="s">
        <v>253</v>
      </c>
      <c r="D238" s="72" t="s">
        <v>386</v>
      </c>
      <c r="E238" s="404" t="s">
        <v>770</v>
      </c>
      <c r="F238" s="404" t="s">
        <v>552</v>
      </c>
      <c r="G238" s="404" t="s">
        <v>789</v>
      </c>
      <c r="H238" s="404" t="s">
        <v>470</v>
      </c>
      <c r="I238" s="404" t="s">
        <v>528</v>
      </c>
      <c r="J238" s="404" t="s">
        <v>528</v>
      </c>
      <c r="K238" s="404" t="s">
        <v>480</v>
      </c>
      <c r="L238" s="72" t="s">
        <v>434</v>
      </c>
      <c r="M238" s="72"/>
      <c r="N238" s="133">
        <v>50</v>
      </c>
      <c r="O238" s="371">
        <v>130</v>
      </c>
      <c r="P238" s="371">
        <v>130</v>
      </c>
      <c r="Q238" s="595">
        <f t="shared" si="3"/>
        <v>1</v>
      </c>
    </row>
    <row r="239" spans="1:17" ht="30">
      <c r="A239" s="62" t="s">
        <v>831</v>
      </c>
      <c r="B239" s="72" t="s">
        <v>514</v>
      </c>
      <c r="C239" s="72" t="s">
        <v>253</v>
      </c>
      <c r="D239" s="72" t="s">
        <v>386</v>
      </c>
      <c r="E239" s="404" t="s">
        <v>770</v>
      </c>
      <c r="F239" s="404" t="s">
        <v>552</v>
      </c>
      <c r="G239" s="404" t="s">
        <v>789</v>
      </c>
      <c r="H239" s="404" t="s">
        <v>470</v>
      </c>
      <c r="I239" s="404" t="s">
        <v>528</v>
      </c>
      <c r="J239" s="404" t="s">
        <v>480</v>
      </c>
      <c r="K239" s="404" t="s">
        <v>481</v>
      </c>
      <c r="L239" s="72" t="s">
        <v>369</v>
      </c>
      <c r="M239" s="72"/>
      <c r="N239" s="133">
        <f>N240</f>
        <v>71.5</v>
      </c>
      <c r="O239" s="371">
        <f>O240</f>
        <v>46.26</v>
      </c>
      <c r="P239" s="371">
        <f>P240</f>
        <v>46.26</v>
      </c>
      <c r="Q239" s="595">
        <f t="shared" si="3"/>
        <v>1</v>
      </c>
    </row>
    <row r="240" spans="1:17" ht="30">
      <c r="A240" s="62" t="s">
        <v>832</v>
      </c>
      <c r="B240" s="72" t="s">
        <v>514</v>
      </c>
      <c r="C240" s="72" t="s">
        <v>253</v>
      </c>
      <c r="D240" s="72" t="s">
        <v>386</v>
      </c>
      <c r="E240" s="404" t="s">
        <v>770</v>
      </c>
      <c r="F240" s="404" t="s">
        <v>552</v>
      </c>
      <c r="G240" s="404" t="s">
        <v>789</v>
      </c>
      <c r="H240" s="404" t="s">
        <v>470</v>
      </c>
      <c r="I240" s="404" t="s">
        <v>528</v>
      </c>
      <c r="J240" s="404" t="s">
        <v>480</v>
      </c>
      <c r="K240" s="404" t="s">
        <v>481</v>
      </c>
      <c r="L240" s="72" t="s">
        <v>434</v>
      </c>
      <c r="M240" s="72"/>
      <c r="N240" s="133">
        <v>71.5</v>
      </c>
      <c r="O240" s="371">
        <v>46.26</v>
      </c>
      <c r="P240" s="371">
        <v>46.26</v>
      </c>
      <c r="Q240" s="595">
        <f t="shared" si="3"/>
        <v>1</v>
      </c>
    </row>
    <row r="241" spans="1:17" ht="120">
      <c r="A241" s="62" t="s">
        <v>952</v>
      </c>
      <c r="B241" s="72" t="s">
        <v>514</v>
      </c>
      <c r="C241" s="72" t="s">
        <v>253</v>
      </c>
      <c r="D241" s="72" t="s">
        <v>386</v>
      </c>
      <c r="E241" s="404" t="s">
        <v>552</v>
      </c>
      <c r="F241" s="404" t="s">
        <v>552</v>
      </c>
      <c r="G241" s="404" t="s">
        <v>528</v>
      </c>
      <c r="H241" s="404" t="s">
        <v>552</v>
      </c>
      <c r="I241" s="404" t="s">
        <v>770</v>
      </c>
      <c r="J241" s="404" t="s">
        <v>770</v>
      </c>
      <c r="K241" s="404" t="s">
        <v>528</v>
      </c>
      <c r="L241" s="72" t="s">
        <v>434</v>
      </c>
      <c r="M241" s="72"/>
      <c r="N241" s="133">
        <v>0</v>
      </c>
      <c r="O241" s="371">
        <v>295</v>
      </c>
      <c r="P241" s="371">
        <v>295</v>
      </c>
      <c r="Q241" s="595">
        <f t="shared" si="3"/>
        <v>1</v>
      </c>
    </row>
    <row r="242" spans="1:17" s="79" customFormat="1" ht="54.75" customHeight="1">
      <c r="A242" s="378" t="s">
        <v>833</v>
      </c>
      <c r="B242" s="358" t="s">
        <v>514</v>
      </c>
      <c r="C242" s="358" t="s">
        <v>253</v>
      </c>
      <c r="D242" s="358" t="s">
        <v>386</v>
      </c>
      <c r="E242" s="358" t="s">
        <v>770</v>
      </c>
      <c r="F242" s="358" t="s">
        <v>479</v>
      </c>
      <c r="G242" s="358" t="s">
        <v>478</v>
      </c>
      <c r="H242" s="358" t="s">
        <v>770</v>
      </c>
      <c r="I242" s="358" t="s">
        <v>479</v>
      </c>
      <c r="J242" s="358" t="s">
        <v>770</v>
      </c>
      <c r="K242" s="358" t="s">
        <v>478</v>
      </c>
      <c r="L242" s="358" t="s">
        <v>369</v>
      </c>
      <c r="M242" s="358"/>
      <c r="N242" s="376">
        <f>N243</f>
        <v>523</v>
      </c>
      <c r="O242" s="372">
        <f>O243</f>
        <v>487.84</v>
      </c>
      <c r="P242" s="372">
        <f>P243</f>
        <v>487.84</v>
      </c>
      <c r="Q242" s="595">
        <f t="shared" si="3"/>
        <v>1</v>
      </c>
    </row>
    <row r="243" spans="1:17" ht="51.75" customHeight="1">
      <c r="A243" s="62" t="s">
        <v>834</v>
      </c>
      <c r="B243" s="72" t="s">
        <v>514</v>
      </c>
      <c r="C243" s="72" t="s">
        <v>253</v>
      </c>
      <c r="D243" s="72" t="s">
        <v>386</v>
      </c>
      <c r="E243" s="72" t="s">
        <v>770</v>
      </c>
      <c r="F243" s="72" t="s">
        <v>479</v>
      </c>
      <c r="G243" s="72" t="s">
        <v>478</v>
      </c>
      <c r="H243" s="72" t="s">
        <v>770</v>
      </c>
      <c r="I243" s="72" t="s">
        <v>479</v>
      </c>
      <c r="J243" s="72" t="s">
        <v>770</v>
      </c>
      <c r="K243" s="72" t="s">
        <v>478</v>
      </c>
      <c r="L243" s="72" t="s">
        <v>434</v>
      </c>
      <c r="M243" s="72"/>
      <c r="N243" s="371">
        <f>723-200</f>
        <v>523</v>
      </c>
      <c r="O243" s="371">
        <v>487.84</v>
      </c>
      <c r="P243" s="371">
        <v>487.84</v>
      </c>
      <c r="Q243" s="595">
        <f t="shared" si="3"/>
        <v>1</v>
      </c>
    </row>
    <row r="244" spans="1:17" ht="30" hidden="1">
      <c r="A244" s="62" t="s">
        <v>835</v>
      </c>
      <c r="B244" s="72" t="s">
        <v>514</v>
      </c>
      <c r="C244" s="72" t="s">
        <v>253</v>
      </c>
      <c r="D244" s="72" t="s">
        <v>386</v>
      </c>
      <c r="E244" s="72"/>
      <c r="F244" s="72"/>
      <c r="G244" s="72"/>
      <c r="H244" s="72"/>
      <c r="I244" s="72"/>
      <c r="J244" s="72"/>
      <c r="K244" s="72"/>
      <c r="L244" s="72" t="s">
        <v>773</v>
      </c>
      <c r="M244" s="72"/>
      <c r="N244" s="133">
        <v>11590.13</v>
      </c>
      <c r="O244" s="371">
        <v>11590.13</v>
      </c>
      <c r="P244" s="371"/>
      <c r="Q244" s="595">
        <f t="shared" si="3"/>
        <v>0</v>
      </c>
    </row>
    <row r="245" spans="1:17" ht="16.5" hidden="1">
      <c r="A245" s="62" t="s">
        <v>774</v>
      </c>
      <c r="B245" s="72" t="s">
        <v>514</v>
      </c>
      <c r="C245" s="72" t="s">
        <v>253</v>
      </c>
      <c r="D245" s="72" t="s">
        <v>386</v>
      </c>
      <c r="E245" s="72"/>
      <c r="F245" s="72"/>
      <c r="G245" s="72"/>
      <c r="H245" s="72"/>
      <c r="I245" s="72"/>
      <c r="J245" s="72"/>
      <c r="K245" s="72"/>
      <c r="L245" s="72" t="s">
        <v>635</v>
      </c>
      <c r="M245" s="72" t="s">
        <v>636</v>
      </c>
      <c r="N245" s="133">
        <v>8894.88</v>
      </c>
      <c r="O245" s="371">
        <v>8894.88</v>
      </c>
      <c r="P245" s="371"/>
      <c r="Q245" s="595">
        <f t="shared" si="3"/>
        <v>0</v>
      </c>
    </row>
    <row r="246" spans="1:17" ht="16.5" hidden="1">
      <c r="A246" s="62" t="s">
        <v>775</v>
      </c>
      <c r="B246" s="72" t="s">
        <v>514</v>
      </c>
      <c r="C246" s="72" t="s">
        <v>253</v>
      </c>
      <c r="D246" s="72" t="s">
        <v>386</v>
      </c>
      <c r="E246" s="72"/>
      <c r="F246" s="72"/>
      <c r="G246" s="72"/>
      <c r="H246" s="72"/>
      <c r="I246" s="72"/>
      <c r="J246" s="72"/>
      <c r="K246" s="72"/>
      <c r="L246" s="72" t="s">
        <v>635</v>
      </c>
      <c r="M246" s="72" t="s">
        <v>637</v>
      </c>
      <c r="N246" s="133">
        <v>2686.25</v>
      </c>
      <c r="O246" s="371">
        <v>2686.25</v>
      </c>
      <c r="P246" s="371"/>
      <c r="Q246" s="595">
        <f t="shared" si="3"/>
        <v>0</v>
      </c>
    </row>
    <row r="247" spans="1:17" ht="16.5" hidden="1">
      <c r="A247" s="62" t="s">
        <v>776</v>
      </c>
      <c r="B247" s="72" t="s">
        <v>514</v>
      </c>
      <c r="C247" s="72" t="s">
        <v>253</v>
      </c>
      <c r="D247" s="72" t="s">
        <v>386</v>
      </c>
      <c r="E247" s="72"/>
      <c r="F247" s="72"/>
      <c r="G247" s="72"/>
      <c r="H247" s="72"/>
      <c r="I247" s="72"/>
      <c r="J247" s="72"/>
      <c r="K247" s="72"/>
      <c r="L247" s="72" t="s">
        <v>661</v>
      </c>
      <c r="M247" s="72" t="s">
        <v>660</v>
      </c>
      <c r="N247" s="133">
        <v>9</v>
      </c>
      <c r="O247" s="371">
        <v>9</v>
      </c>
      <c r="P247" s="371"/>
      <c r="Q247" s="595">
        <f t="shared" si="3"/>
        <v>0</v>
      </c>
    </row>
    <row r="248" spans="1:17" ht="45" hidden="1">
      <c r="A248" s="62" t="s">
        <v>819</v>
      </c>
      <c r="B248" s="72" t="s">
        <v>514</v>
      </c>
      <c r="C248" s="72" t="s">
        <v>253</v>
      </c>
      <c r="D248" s="72" t="s">
        <v>386</v>
      </c>
      <c r="E248" s="72"/>
      <c r="F248" s="72"/>
      <c r="G248" s="72"/>
      <c r="H248" s="72"/>
      <c r="I248" s="72"/>
      <c r="J248" s="72"/>
      <c r="K248" s="72"/>
      <c r="L248" s="72" t="s">
        <v>434</v>
      </c>
      <c r="M248" s="72"/>
      <c r="N248" s="133">
        <v>2185.3199999999997</v>
      </c>
      <c r="O248" s="371">
        <v>2185.3199999999997</v>
      </c>
      <c r="P248" s="371"/>
      <c r="Q248" s="595">
        <f t="shared" si="3"/>
        <v>0</v>
      </c>
    </row>
    <row r="249" spans="1:17" ht="16.5" hidden="1">
      <c r="A249" s="62" t="s">
        <v>779</v>
      </c>
      <c r="B249" s="72" t="s">
        <v>514</v>
      </c>
      <c r="C249" s="72" t="s">
        <v>253</v>
      </c>
      <c r="D249" s="72" t="s">
        <v>386</v>
      </c>
      <c r="E249" s="72"/>
      <c r="F249" s="72"/>
      <c r="G249" s="72"/>
      <c r="H249" s="72"/>
      <c r="I249" s="72"/>
      <c r="J249" s="72"/>
      <c r="K249" s="72"/>
      <c r="L249" s="72" t="s">
        <v>719</v>
      </c>
      <c r="M249" s="72" t="s">
        <v>640</v>
      </c>
      <c r="N249" s="133">
        <v>232</v>
      </c>
      <c r="O249" s="371">
        <v>232</v>
      </c>
      <c r="P249" s="371"/>
      <c r="Q249" s="595">
        <f t="shared" si="3"/>
        <v>0</v>
      </c>
    </row>
    <row r="250" spans="1:17" ht="16.5" hidden="1">
      <c r="A250" s="62" t="s">
        <v>780</v>
      </c>
      <c r="B250" s="72" t="s">
        <v>514</v>
      </c>
      <c r="C250" s="72" t="s">
        <v>253</v>
      </c>
      <c r="D250" s="72" t="s">
        <v>386</v>
      </c>
      <c r="E250" s="72"/>
      <c r="F250" s="72"/>
      <c r="G250" s="72"/>
      <c r="H250" s="72"/>
      <c r="I250" s="72"/>
      <c r="J250" s="72"/>
      <c r="K250" s="72"/>
      <c r="L250" s="72" t="s">
        <v>719</v>
      </c>
      <c r="M250" s="72" t="s">
        <v>641</v>
      </c>
      <c r="N250" s="133">
        <v>18</v>
      </c>
      <c r="O250" s="371">
        <v>18</v>
      </c>
      <c r="P250" s="371"/>
      <c r="Q250" s="595">
        <f t="shared" si="3"/>
        <v>0</v>
      </c>
    </row>
    <row r="251" spans="1:17" ht="16.5" hidden="1">
      <c r="A251" s="62" t="s">
        <v>781</v>
      </c>
      <c r="B251" s="72" t="s">
        <v>514</v>
      </c>
      <c r="C251" s="72" t="s">
        <v>253</v>
      </c>
      <c r="D251" s="72" t="s">
        <v>386</v>
      </c>
      <c r="E251" s="72"/>
      <c r="F251" s="72"/>
      <c r="G251" s="72"/>
      <c r="H251" s="72"/>
      <c r="I251" s="72"/>
      <c r="J251" s="72"/>
      <c r="K251" s="72"/>
      <c r="L251" s="72" t="s">
        <v>719</v>
      </c>
      <c r="M251" s="72" t="s">
        <v>642</v>
      </c>
      <c r="N251" s="133">
        <v>317.5</v>
      </c>
      <c r="O251" s="371">
        <v>317.5</v>
      </c>
      <c r="P251" s="371"/>
      <c r="Q251" s="595">
        <f t="shared" si="3"/>
        <v>0</v>
      </c>
    </row>
    <row r="252" spans="1:17" ht="16.5" hidden="1">
      <c r="A252" s="62" t="s">
        <v>782</v>
      </c>
      <c r="B252" s="72" t="s">
        <v>514</v>
      </c>
      <c r="C252" s="72" t="s">
        <v>253</v>
      </c>
      <c r="D252" s="72" t="s">
        <v>386</v>
      </c>
      <c r="E252" s="72"/>
      <c r="F252" s="72"/>
      <c r="G252" s="72"/>
      <c r="H252" s="72"/>
      <c r="I252" s="72"/>
      <c r="J252" s="72"/>
      <c r="K252" s="72"/>
      <c r="L252" s="72" t="s">
        <v>719</v>
      </c>
      <c r="M252" s="72" t="s">
        <v>643</v>
      </c>
      <c r="N252" s="133">
        <v>0</v>
      </c>
      <c r="O252" s="371">
        <v>0</v>
      </c>
      <c r="P252" s="371"/>
      <c r="Q252" s="595" t="e">
        <f t="shared" si="3"/>
        <v>#DIV/0!</v>
      </c>
    </row>
    <row r="253" spans="1:17" ht="16.5" hidden="1">
      <c r="A253" s="62" t="s">
        <v>783</v>
      </c>
      <c r="B253" s="72" t="s">
        <v>514</v>
      </c>
      <c r="C253" s="72" t="s">
        <v>253</v>
      </c>
      <c r="D253" s="72" t="s">
        <v>386</v>
      </c>
      <c r="E253" s="72"/>
      <c r="F253" s="72"/>
      <c r="G253" s="72"/>
      <c r="H253" s="72"/>
      <c r="I253" s="72"/>
      <c r="J253" s="72"/>
      <c r="K253" s="72"/>
      <c r="L253" s="72" t="s">
        <v>719</v>
      </c>
      <c r="M253" s="72" t="s">
        <v>644</v>
      </c>
      <c r="N253" s="133">
        <v>687.39</v>
      </c>
      <c r="O253" s="371">
        <v>687.39</v>
      </c>
      <c r="P253" s="371"/>
      <c r="Q253" s="595">
        <f t="shared" si="3"/>
        <v>0</v>
      </c>
    </row>
    <row r="254" spans="1:17" ht="16.5" hidden="1">
      <c r="A254" s="62" t="s">
        <v>784</v>
      </c>
      <c r="B254" s="72" t="s">
        <v>514</v>
      </c>
      <c r="C254" s="72" t="s">
        <v>253</v>
      </c>
      <c r="D254" s="72" t="s">
        <v>386</v>
      </c>
      <c r="E254" s="72"/>
      <c r="F254" s="72"/>
      <c r="G254" s="72"/>
      <c r="H254" s="72"/>
      <c r="I254" s="72"/>
      <c r="J254" s="72"/>
      <c r="K254" s="72"/>
      <c r="L254" s="72" t="s">
        <v>719</v>
      </c>
      <c r="M254" s="72" t="s">
        <v>645</v>
      </c>
      <c r="N254" s="133">
        <v>860.43</v>
      </c>
      <c r="O254" s="371">
        <v>860.43</v>
      </c>
      <c r="P254" s="371"/>
      <c r="Q254" s="595">
        <f t="shared" si="3"/>
        <v>0</v>
      </c>
    </row>
    <row r="255" spans="1:17" ht="16.5" hidden="1">
      <c r="A255" s="62" t="s">
        <v>785</v>
      </c>
      <c r="B255" s="72" t="s">
        <v>514</v>
      </c>
      <c r="C255" s="72" t="s">
        <v>253</v>
      </c>
      <c r="D255" s="72" t="s">
        <v>386</v>
      </c>
      <c r="E255" s="72"/>
      <c r="F255" s="72"/>
      <c r="G255" s="72"/>
      <c r="H255" s="72"/>
      <c r="I255" s="72"/>
      <c r="J255" s="72"/>
      <c r="K255" s="72"/>
      <c r="L255" s="72" t="s">
        <v>719</v>
      </c>
      <c r="M255" s="72" t="s">
        <v>646</v>
      </c>
      <c r="N255" s="133">
        <v>30</v>
      </c>
      <c r="O255" s="371">
        <v>30</v>
      </c>
      <c r="P255" s="371"/>
      <c r="Q255" s="595">
        <f t="shared" si="3"/>
        <v>0</v>
      </c>
    </row>
    <row r="256" spans="1:17" ht="16.5" hidden="1">
      <c r="A256" s="62" t="s">
        <v>786</v>
      </c>
      <c r="B256" s="72" t="s">
        <v>514</v>
      </c>
      <c r="C256" s="72" t="s">
        <v>253</v>
      </c>
      <c r="D256" s="72" t="s">
        <v>386</v>
      </c>
      <c r="E256" s="72"/>
      <c r="F256" s="72"/>
      <c r="G256" s="72"/>
      <c r="H256" s="72"/>
      <c r="I256" s="72"/>
      <c r="J256" s="72"/>
      <c r="K256" s="72"/>
      <c r="L256" s="72" t="s">
        <v>719</v>
      </c>
      <c r="M256" s="72" t="s">
        <v>647</v>
      </c>
      <c r="N256" s="133">
        <v>0</v>
      </c>
      <c r="O256" s="371">
        <v>0</v>
      </c>
      <c r="P256" s="371"/>
      <c r="Q256" s="595" t="e">
        <f t="shared" si="3"/>
        <v>#DIV/0!</v>
      </c>
    </row>
    <row r="257" spans="1:17" ht="16.5" hidden="1">
      <c r="A257" s="62" t="s">
        <v>787</v>
      </c>
      <c r="B257" s="72" t="s">
        <v>514</v>
      </c>
      <c r="C257" s="72" t="s">
        <v>253</v>
      </c>
      <c r="D257" s="72" t="s">
        <v>386</v>
      </c>
      <c r="E257" s="72"/>
      <c r="F257" s="72"/>
      <c r="G257" s="72"/>
      <c r="H257" s="72"/>
      <c r="I257" s="72"/>
      <c r="J257" s="72"/>
      <c r="K257" s="72"/>
      <c r="L257" s="72" t="s">
        <v>719</v>
      </c>
      <c r="M257" s="72" t="s">
        <v>648</v>
      </c>
      <c r="N257" s="133">
        <v>40</v>
      </c>
      <c r="O257" s="371">
        <v>40</v>
      </c>
      <c r="P257" s="371"/>
      <c r="Q257" s="595">
        <f t="shared" si="3"/>
        <v>0</v>
      </c>
    </row>
    <row r="258" spans="1:17" ht="16.5" hidden="1">
      <c r="A258" s="62" t="s">
        <v>510</v>
      </c>
      <c r="B258" s="72" t="s">
        <v>514</v>
      </c>
      <c r="C258" s="72" t="s">
        <v>483</v>
      </c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133">
        <v>0</v>
      </c>
      <c r="O258" s="371">
        <v>0</v>
      </c>
      <c r="P258" s="371"/>
      <c r="Q258" s="595" t="e">
        <f t="shared" si="3"/>
        <v>#DIV/0!</v>
      </c>
    </row>
    <row r="259" spans="1:17" ht="16.5" hidden="1">
      <c r="A259" s="62" t="s">
        <v>521</v>
      </c>
      <c r="B259" s="72" t="s">
        <v>514</v>
      </c>
      <c r="C259" s="72" t="s">
        <v>483</v>
      </c>
      <c r="D259" s="72" t="s">
        <v>391</v>
      </c>
      <c r="E259" s="72"/>
      <c r="F259" s="72"/>
      <c r="G259" s="72"/>
      <c r="H259" s="72"/>
      <c r="I259" s="72"/>
      <c r="J259" s="72"/>
      <c r="K259" s="72"/>
      <c r="L259" s="72"/>
      <c r="M259" s="72"/>
      <c r="N259" s="133">
        <v>0</v>
      </c>
      <c r="O259" s="371">
        <v>0</v>
      </c>
      <c r="P259" s="371"/>
      <c r="Q259" s="595" t="e">
        <f t="shared" si="3"/>
        <v>#DIV/0!</v>
      </c>
    </row>
    <row r="260" spans="1:17" ht="16.5" hidden="1">
      <c r="A260" s="62" t="s">
        <v>155</v>
      </c>
      <c r="B260" s="72" t="s">
        <v>514</v>
      </c>
      <c r="C260" s="72" t="s">
        <v>253</v>
      </c>
      <c r="D260" s="72" t="s">
        <v>387</v>
      </c>
      <c r="E260" s="72"/>
      <c r="F260" s="72"/>
      <c r="G260" s="72"/>
      <c r="H260" s="72"/>
      <c r="I260" s="72"/>
      <c r="J260" s="72"/>
      <c r="K260" s="72"/>
      <c r="L260" s="72"/>
      <c r="M260" s="72"/>
      <c r="N260" s="133">
        <v>236.1</v>
      </c>
      <c r="O260" s="371">
        <v>236.1</v>
      </c>
      <c r="P260" s="371"/>
      <c r="Q260" s="595">
        <f t="shared" si="3"/>
        <v>0</v>
      </c>
    </row>
    <row r="261" spans="1:17" ht="20.25" customHeight="1">
      <c r="A261" s="62" t="s">
        <v>699</v>
      </c>
      <c r="B261" s="72" t="s">
        <v>514</v>
      </c>
      <c r="C261" s="72" t="s">
        <v>483</v>
      </c>
      <c r="D261" s="72" t="s">
        <v>386</v>
      </c>
      <c r="E261" s="72" t="s">
        <v>528</v>
      </c>
      <c r="F261" s="72" t="s">
        <v>770</v>
      </c>
      <c r="G261" s="72" t="s">
        <v>478</v>
      </c>
      <c r="H261" s="72" t="s">
        <v>528</v>
      </c>
      <c r="I261" s="72" t="s">
        <v>770</v>
      </c>
      <c r="J261" s="72" t="s">
        <v>478</v>
      </c>
      <c r="K261" s="72" t="s">
        <v>470</v>
      </c>
      <c r="L261" s="72" t="s">
        <v>514</v>
      </c>
      <c r="M261" s="72"/>
      <c r="N261" s="133"/>
      <c r="O261" s="371">
        <v>2307.88</v>
      </c>
      <c r="P261" s="371">
        <v>2307.88</v>
      </c>
      <c r="Q261" s="595">
        <f t="shared" si="3"/>
        <v>1</v>
      </c>
    </row>
    <row r="262" spans="1:17" s="79" customFormat="1" ht="72.75" customHeight="1">
      <c r="A262" s="378" t="s">
        <v>836</v>
      </c>
      <c r="B262" s="358" t="s">
        <v>514</v>
      </c>
      <c r="C262" s="358" t="s">
        <v>252</v>
      </c>
      <c r="D262" s="358" t="s">
        <v>382</v>
      </c>
      <c r="E262" s="358" t="s">
        <v>528</v>
      </c>
      <c r="F262" s="358" t="s">
        <v>528</v>
      </c>
      <c r="G262" s="358"/>
      <c r="H262" s="358"/>
      <c r="I262" s="358"/>
      <c r="J262" s="358"/>
      <c r="K262" s="358"/>
      <c r="L262" s="358" t="s">
        <v>369</v>
      </c>
      <c r="M262" s="358"/>
      <c r="N262" s="376">
        <f>N263</f>
        <v>500</v>
      </c>
      <c r="O262" s="372">
        <f>O263</f>
        <v>400</v>
      </c>
      <c r="P262" s="372">
        <f>P263</f>
        <v>400</v>
      </c>
      <c r="Q262" s="595">
        <f t="shared" si="3"/>
        <v>1</v>
      </c>
    </row>
    <row r="263" spans="1:17" ht="65.25" customHeight="1">
      <c r="A263" s="62" t="s">
        <v>837</v>
      </c>
      <c r="B263" s="72" t="s">
        <v>514</v>
      </c>
      <c r="C263" s="72" t="s">
        <v>252</v>
      </c>
      <c r="D263" s="72" t="s">
        <v>382</v>
      </c>
      <c r="E263" s="72" t="s">
        <v>528</v>
      </c>
      <c r="F263" s="72" t="s">
        <v>528</v>
      </c>
      <c r="G263" s="72" t="s">
        <v>528</v>
      </c>
      <c r="H263" s="72" t="s">
        <v>528</v>
      </c>
      <c r="I263" s="72" t="s">
        <v>528</v>
      </c>
      <c r="J263" s="72" t="s">
        <v>770</v>
      </c>
      <c r="K263" s="72" t="s">
        <v>528</v>
      </c>
      <c r="L263" s="72" t="s">
        <v>434</v>
      </c>
      <c r="M263" s="72"/>
      <c r="N263" s="133">
        <v>500</v>
      </c>
      <c r="O263" s="371">
        <v>400</v>
      </c>
      <c r="P263" s="371">
        <v>400</v>
      </c>
      <c r="Q263" s="595">
        <f t="shared" si="3"/>
        <v>1</v>
      </c>
    </row>
    <row r="264" spans="1:17" s="370" customFormat="1" ht="64.5" customHeight="1">
      <c r="A264" s="352" t="s">
        <v>352</v>
      </c>
      <c r="B264" s="379" t="s">
        <v>514</v>
      </c>
      <c r="C264" s="379" t="s">
        <v>487</v>
      </c>
      <c r="D264" s="379"/>
      <c r="E264" s="379"/>
      <c r="F264" s="379"/>
      <c r="G264" s="379"/>
      <c r="H264" s="379"/>
      <c r="I264" s="379"/>
      <c r="J264" s="379"/>
      <c r="K264" s="379"/>
      <c r="L264" s="379" t="s">
        <v>482</v>
      </c>
      <c r="M264" s="379"/>
      <c r="N264" s="372">
        <f>N265+N270+N266</f>
        <v>39099.5</v>
      </c>
      <c r="O264" s="372">
        <f>O265+O270+O266+O268+O269</f>
        <v>41142.48</v>
      </c>
      <c r="P264" s="372">
        <f>P265+P270+P266+P268+P269</f>
        <v>41119.12</v>
      </c>
      <c r="Q264" s="595">
        <f t="shared" si="3"/>
        <v>0.9994322170175449</v>
      </c>
    </row>
    <row r="265" spans="1:19" ht="48.75" customHeight="1">
      <c r="A265" s="62" t="s">
        <v>353</v>
      </c>
      <c r="B265" s="72" t="s">
        <v>514</v>
      </c>
      <c r="C265" s="72" t="s">
        <v>487</v>
      </c>
      <c r="D265" s="72" t="s">
        <v>386</v>
      </c>
      <c r="E265" s="72" t="s">
        <v>478</v>
      </c>
      <c r="F265" s="72" t="s">
        <v>528</v>
      </c>
      <c r="G265" s="72" t="s">
        <v>789</v>
      </c>
      <c r="H265" s="72" t="s">
        <v>481</v>
      </c>
      <c r="I265" s="72" t="s">
        <v>770</v>
      </c>
      <c r="J265" s="72" t="s">
        <v>770</v>
      </c>
      <c r="K265" s="72" t="s">
        <v>481</v>
      </c>
      <c r="L265" s="72" t="s">
        <v>482</v>
      </c>
      <c r="M265" s="72"/>
      <c r="N265" s="380">
        <v>34729.3</v>
      </c>
      <c r="O265" s="380">
        <v>34729.3</v>
      </c>
      <c r="P265" s="380">
        <v>34729.3</v>
      </c>
      <c r="Q265" s="595">
        <f t="shared" si="3"/>
        <v>1</v>
      </c>
      <c r="R265" s="81">
        <f>N82+N84+N197+N438+N439</f>
        <v>1500</v>
      </c>
      <c r="S265" s="81">
        <f>O82+O84+O197+O438+O439</f>
        <v>3862.8900000000003</v>
      </c>
    </row>
    <row r="266" spans="1:17" ht="48.75" customHeight="1">
      <c r="A266" s="62" t="s">
        <v>923</v>
      </c>
      <c r="B266" s="72" t="s">
        <v>514</v>
      </c>
      <c r="C266" s="72" t="s">
        <v>487</v>
      </c>
      <c r="D266" s="72" t="s">
        <v>382</v>
      </c>
      <c r="E266" s="72" t="s">
        <v>528</v>
      </c>
      <c r="F266" s="72" t="s">
        <v>481</v>
      </c>
      <c r="G266" s="72" t="s">
        <v>770</v>
      </c>
      <c r="H266" s="72" t="s">
        <v>528</v>
      </c>
      <c r="I266" s="72" t="s">
        <v>481</v>
      </c>
      <c r="J266" s="72" t="s">
        <v>770</v>
      </c>
      <c r="K266" s="72" t="s">
        <v>770</v>
      </c>
      <c r="L266" s="72" t="s">
        <v>482</v>
      </c>
      <c r="M266" s="72"/>
      <c r="N266" s="409">
        <v>1500</v>
      </c>
      <c r="O266" s="380">
        <v>2583.29</v>
      </c>
      <c r="P266" s="380">
        <v>2583.29</v>
      </c>
      <c r="Q266" s="595">
        <f t="shared" si="3"/>
        <v>1</v>
      </c>
    </row>
    <row r="267" spans="1:17" ht="48.75" customHeight="1" hidden="1">
      <c r="A267" s="62" t="s">
        <v>968</v>
      </c>
      <c r="B267" s="72" t="s">
        <v>514</v>
      </c>
      <c r="C267" s="72" t="s">
        <v>483</v>
      </c>
      <c r="D267" s="72" t="s">
        <v>386</v>
      </c>
      <c r="E267" s="72" t="s">
        <v>528</v>
      </c>
      <c r="F267" s="72" t="s">
        <v>770</v>
      </c>
      <c r="G267" s="72" t="s">
        <v>478</v>
      </c>
      <c r="H267" s="72" t="s">
        <v>528</v>
      </c>
      <c r="I267" s="72" t="s">
        <v>770</v>
      </c>
      <c r="J267" s="72" t="s">
        <v>770</v>
      </c>
      <c r="K267" s="72" t="s">
        <v>470</v>
      </c>
      <c r="L267" s="72" t="s">
        <v>514</v>
      </c>
      <c r="M267" s="72"/>
      <c r="N267" s="380">
        <v>2100</v>
      </c>
      <c r="O267" s="380">
        <v>0</v>
      </c>
      <c r="P267" s="380"/>
      <c r="Q267" s="595" t="e">
        <f t="shared" si="3"/>
        <v>#DIV/0!</v>
      </c>
    </row>
    <row r="268" spans="1:17" ht="48.75" customHeight="1">
      <c r="A268" s="62" t="s">
        <v>923</v>
      </c>
      <c r="B268" s="72" t="s">
        <v>514</v>
      </c>
      <c r="C268" s="72" t="s">
        <v>487</v>
      </c>
      <c r="D268" s="72" t="s">
        <v>391</v>
      </c>
      <c r="E268" s="72" t="s">
        <v>528</v>
      </c>
      <c r="F268" s="72" t="s">
        <v>481</v>
      </c>
      <c r="G268" s="72" t="s">
        <v>770</v>
      </c>
      <c r="H268" s="72" t="s">
        <v>528</v>
      </c>
      <c r="I268" s="72" t="s">
        <v>481</v>
      </c>
      <c r="J268" s="72" t="s">
        <v>770</v>
      </c>
      <c r="K268" s="72" t="s">
        <v>770</v>
      </c>
      <c r="L268" s="72" t="s">
        <v>482</v>
      </c>
      <c r="M268" s="72"/>
      <c r="N268" s="380"/>
      <c r="O268" s="380">
        <f>150+30</f>
        <v>180</v>
      </c>
      <c r="P268" s="380">
        <f>150+30</f>
        <v>180</v>
      </c>
      <c r="Q268" s="595">
        <f aca="true" t="shared" si="4" ref="Q268:Q331">P268/O268</f>
        <v>1</v>
      </c>
    </row>
    <row r="269" spans="1:17" ht="20.25" customHeight="1">
      <c r="A269" s="62" t="s">
        <v>1005</v>
      </c>
      <c r="B269" s="72" t="s">
        <v>514</v>
      </c>
      <c r="C269" s="72" t="s">
        <v>487</v>
      </c>
      <c r="D269" s="72" t="s">
        <v>391</v>
      </c>
      <c r="E269" s="72" t="s">
        <v>528</v>
      </c>
      <c r="F269" s="72" t="s">
        <v>480</v>
      </c>
      <c r="G269" s="72" t="s">
        <v>770</v>
      </c>
      <c r="H269" s="72" t="s">
        <v>528</v>
      </c>
      <c r="I269" s="72" t="s">
        <v>480</v>
      </c>
      <c r="J269" s="72" t="s">
        <v>770</v>
      </c>
      <c r="K269" s="72" t="s">
        <v>770</v>
      </c>
      <c r="L269" s="72" t="s">
        <v>482</v>
      </c>
      <c r="M269" s="72"/>
      <c r="N269" s="380"/>
      <c r="O269" s="380">
        <v>779.69</v>
      </c>
      <c r="P269" s="380">
        <v>779.69</v>
      </c>
      <c r="Q269" s="595">
        <f t="shared" si="4"/>
        <v>1</v>
      </c>
    </row>
    <row r="270" spans="1:17" ht="48.75" customHeight="1">
      <c r="A270" s="62" t="s">
        <v>838</v>
      </c>
      <c r="B270" s="72" t="s">
        <v>514</v>
      </c>
      <c r="C270" s="72" t="s">
        <v>382</v>
      </c>
      <c r="D270" s="72" t="s">
        <v>391</v>
      </c>
      <c r="E270" s="72" t="s">
        <v>478</v>
      </c>
      <c r="F270" s="72" t="s">
        <v>528</v>
      </c>
      <c r="G270" s="72" t="s">
        <v>789</v>
      </c>
      <c r="H270" s="72" t="s">
        <v>470</v>
      </c>
      <c r="I270" s="72" t="s">
        <v>528</v>
      </c>
      <c r="J270" s="72" t="s">
        <v>528</v>
      </c>
      <c r="K270" s="72" t="s">
        <v>548</v>
      </c>
      <c r="L270" s="72" t="s">
        <v>482</v>
      </c>
      <c r="M270" s="72"/>
      <c r="N270" s="133">
        <v>2870.2</v>
      </c>
      <c r="O270" s="371">
        <v>2870.2</v>
      </c>
      <c r="P270" s="371">
        <v>2846.84</v>
      </c>
      <c r="Q270" s="595">
        <f t="shared" si="4"/>
        <v>0.9918611943418578</v>
      </c>
    </row>
    <row r="271" spans="1:17" ht="30" hidden="1">
      <c r="A271" s="62" t="s">
        <v>839</v>
      </c>
      <c r="B271" s="72" t="s">
        <v>514</v>
      </c>
      <c r="C271" s="72" t="s">
        <v>382</v>
      </c>
      <c r="D271" s="72" t="s">
        <v>391</v>
      </c>
      <c r="E271" s="72"/>
      <c r="F271" s="72"/>
      <c r="G271" s="72"/>
      <c r="H271" s="72"/>
      <c r="I271" s="72"/>
      <c r="J271" s="72"/>
      <c r="K271" s="72"/>
      <c r="L271" s="72" t="s">
        <v>690</v>
      </c>
      <c r="M271" s="72" t="s">
        <v>691</v>
      </c>
      <c r="N271" s="133">
        <v>2759</v>
      </c>
      <c r="O271" s="371">
        <v>2759</v>
      </c>
      <c r="P271" s="371"/>
      <c r="Q271" s="595">
        <f t="shared" si="4"/>
        <v>0</v>
      </c>
    </row>
    <row r="272" spans="1:17" ht="16.5" hidden="1">
      <c r="A272" s="62" t="s">
        <v>376</v>
      </c>
      <c r="B272" s="72" t="s">
        <v>514</v>
      </c>
      <c r="C272" s="72" t="s">
        <v>253</v>
      </c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133">
        <v>10534.2</v>
      </c>
      <c r="O272" s="371">
        <v>10534.2</v>
      </c>
      <c r="P272" s="371"/>
      <c r="Q272" s="595">
        <f t="shared" si="4"/>
        <v>0</v>
      </c>
    </row>
    <row r="273" spans="1:17" ht="16.5" hidden="1">
      <c r="A273" s="62" t="s">
        <v>520</v>
      </c>
      <c r="B273" s="72" t="s">
        <v>514</v>
      </c>
      <c r="C273" s="72" t="s">
        <v>253</v>
      </c>
      <c r="D273" s="72" t="s">
        <v>386</v>
      </c>
      <c r="E273" s="72"/>
      <c r="F273" s="72"/>
      <c r="G273" s="72"/>
      <c r="H273" s="72"/>
      <c r="I273" s="72"/>
      <c r="J273" s="72"/>
      <c r="K273" s="72"/>
      <c r="L273" s="72"/>
      <c r="M273" s="72"/>
      <c r="N273" s="133">
        <v>9989.400000000001</v>
      </c>
      <c r="O273" s="371">
        <v>9989.400000000001</v>
      </c>
      <c r="P273" s="371"/>
      <c r="Q273" s="595">
        <f t="shared" si="4"/>
        <v>0</v>
      </c>
    </row>
    <row r="274" spans="1:17" ht="16.5" hidden="1">
      <c r="A274" s="62" t="s">
        <v>784</v>
      </c>
      <c r="B274" s="72" t="s">
        <v>514</v>
      </c>
      <c r="C274" s="72" t="s">
        <v>253</v>
      </c>
      <c r="D274" s="72" t="s">
        <v>386</v>
      </c>
      <c r="E274" s="72"/>
      <c r="F274" s="72"/>
      <c r="G274" s="72"/>
      <c r="H274" s="72"/>
      <c r="I274" s="72"/>
      <c r="J274" s="72"/>
      <c r="K274" s="72"/>
      <c r="L274" s="72" t="s">
        <v>719</v>
      </c>
      <c r="M274" s="72" t="s">
        <v>645</v>
      </c>
      <c r="N274" s="133">
        <v>544.8</v>
      </c>
      <c r="O274" s="371">
        <v>544.8</v>
      </c>
      <c r="P274" s="371"/>
      <c r="Q274" s="595">
        <f t="shared" si="4"/>
        <v>0</v>
      </c>
    </row>
    <row r="275" spans="1:17" ht="16.5" hidden="1">
      <c r="A275" s="6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133"/>
      <c r="O275" s="371"/>
      <c r="P275" s="371"/>
      <c r="Q275" s="595" t="e">
        <f t="shared" si="4"/>
        <v>#DIV/0!</v>
      </c>
    </row>
    <row r="276" spans="1:17" ht="16.5" hidden="1">
      <c r="A276" s="62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133"/>
      <c r="O276" s="371"/>
      <c r="P276" s="371"/>
      <c r="Q276" s="595" t="e">
        <f t="shared" si="4"/>
        <v>#DIV/0!</v>
      </c>
    </row>
    <row r="277" spans="1:17" ht="16.5" hidden="1">
      <c r="A277" s="62" t="s">
        <v>378</v>
      </c>
      <c r="B277" s="72" t="s">
        <v>514</v>
      </c>
      <c r="C277" s="72" t="s">
        <v>251</v>
      </c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371">
        <v>12578.920000000002</v>
      </c>
      <c r="O277" s="371">
        <v>12578.920000000002</v>
      </c>
      <c r="P277" s="371"/>
      <c r="Q277" s="595">
        <f t="shared" si="4"/>
        <v>0</v>
      </c>
    </row>
    <row r="278" spans="1:17" ht="16.5" hidden="1">
      <c r="A278" s="62" t="s">
        <v>379</v>
      </c>
      <c r="B278" s="72" t="s">
        <v>514</v>
      </c>
      <c r="C278" s="72" t="s">
        <v>251</v>
      </c>
      <c r="D278" s="72" t="s">
        <v>386</v>
      </c>
      <c r="E278" s="72"/>
      <c r="F278" s="72"/>
      <c r="G278" s="72"/>
      <c r="H278" s="72"/>
      <c r="I278" s="72"/>
      <c r="J278" s="72"/>
      <c r="K278" s="72"/>
      <c r="L278" s="72"/>
      <c r="M278" s="72"/>
      <c r="N278" s="371">
        <v>12578.920000000002</v>
      </c>
      <c r="O278" s="371">
        <v>12578.920000000002</v>
      </c>
      <c r="P278" s="371"/>
      <c r="Q278" s="595">
        <f t="shared" si="4"/>
        <v>0</v>
      </c>
    </row>
    <row r="279" spans="1:17" s="79" customFormat="1" ht="50.25" customHeight="1">
      <c r="A279" s="378" t="s">
        <v>840</v>
      </c>
      <c r="B279" s="358" t="s">
        <v>514</v>
      </c>
      <c r="C279" s="358" t="s">
        <v>251</v>
      </c>
      <c r="D279" s="358" t="s">
        <v>386</v>
      </c>
      <c r="E279" s="358" t="s">
        <v>770</v>
      </c>
      <c r="F279" s="358" t="s">
        <v>478</v>
      </c>
      <c r="G279" s="358"/>
      <c r="H279" s="358"/>
      <c r="I279" s="358"/>
      <c r="J279" s="358"/>
      <c r="K279" s="358"/>
      <c r="L279" s="358" t="s">
        <v>369</v>
      </c>
      <c r="M279" s="358"/>
      <c r="N279" s="372">
        <f>N298</f>
        <v>12728.92</v>
      </c>
      <c r="O279" s="372">
        <f>O298+O300</f>
        <v>12062.109999999999</v>
      </c>
      <c r="P279" s="372">
        <f>P298+P300</f>
        <v>12062.109999999999</v>
      </c>
      <c r="Q279" s="595">
        <f t="shared" si="4"/>
        <v>1</v>
      </c>
    </row>
    <row r="280" spans="1:17" ht="30" hidden="1">
      <c r="A280" s="62" t="s">
        <v>841</v>
      </c>
      <c r="B280" s="72" t="s">
        <v>514</v>
      </c>
      <c r="C280" s="72" t="s">
        <v>251</v>
      </c>
      <c r="D280" s="72" t="s">
        <v>386</v>
      </c>
      <c r="E280" s="72"/>
      <c r="F280" s="72"/>
      <c r="G280" s="72"/>
      <c r="H280" s="72"/>
      <c r="I280" s="72"/>
      <c r="J280" s="72"/>
      <c r="K280" s="72"/>
      <c r="L280" s="72" t="s">
        <v>773</v>
      </c>
      <c r="M280" s="72"/>
      <c r="N280" s="371">
        <v>10105.630000000001</v>
      </c>
      <c r="O280" s="371">
        <v>10105.630000000001</v>
      </c>
      <c r="P280" s="371">
        <v>10105.630000000001</v>
      </c>
      <c r="Q280" s="595">
        <f t="shared" si="4"/>
        <v>1</v>
      </c>
    </row>
    <row r="281" spans="1:17" ht="16.5" hidden="1">
      <c r="A281" s="62" t="s">
        <v>774</v>
      </c>
      <c r="B281" s="72" t="s">
        <v>514</v>
      </c>
      <c r="C281" s="72" t="s">
        <v>251</v>
      </c>
      <c r="D281" s="72" t="s">
        <v>386</v>
      </c>
      <c r="E281" s="72"/>
      <c r="F281" s="72"/>
      <c r="G281" s="72"/>
      <c r="H281" s="72"/>
      <c r="I281" s="72"/>
      <c r="J281" s="72"/>
      <c r="K281" s="72"/>
      <c r="L281" s="72" t="s">
        <v>635</v>
      </c>
      <c r="M281" s="72" t="s">
        <v>636</v>
      </c>
      <c r="N281" s="371">
        <v>7761.620000000001</v>
      </c>
      <c r="O281" s="371">
        <v>7761.620000000001</v>
      </c>
      <c r="P281" s="371">
        <v>7761.620000000001</v>
      </c>
      <c r="Q281" s="595">
        <f t="shared" si="4"/>
        <v>1</v>
      </c>
    </row>
    <row r="282" spans="1:17" ht="16.5" hidden="1">
      <c r="A282" s="62" t="s">
        <v>775</v>
      </c>
      <c r="B282" s="72" t="s">
        <v>514</v>
      </c>
      <c r="C282" s="72" t="s">
        <v>251</v>
      </c>
      <c r="D282" s="72" t="s">
        <v>386</v>
      </c>
      <c r="E282" s="72"/>
      <c r="F282" s="72"/>
      <c r="G282" s="72"/>
      <c r="H282" s="72"/>
      <c r="I282" s="72"/>
      <c r="J282" s="72"/>
      <c r="K282" s="72"/>
      <c r="L282" s="72" t="s">
        <v>635</v>
      </c>
      <c r="M282" s="72" t="s">
        <v>637</v>
      </c>
      <c r="N282" s="371">
        <v>2344.01</v>
      </c>
      <c r="O282" s="371">
        <v>2344.01</v>
      </c>
      <c r="P282" s="371">
        <v>2344.01</v>
      </c>
      <c r="Q282" s="595">
        <f t="shared" si="4"/>
        <v>1</v>
      </c>
    </row>
    <row r="283" spans="1:17" ht="30" hidden="1">
      <c r="A283" s="62" t="s">
        <v>777</v>
      </c>
      <c r="B283" s="72" t="s">
        <v>514</v>
      </c>
      <c r="C283" s="72" t="s">
        <v>251</v>
      </c>
      <c r="D283" s="72" t="s">
        <v>386</v>
      </c>
      <c r="E283" s="72"/>
      <c r="F283" s="72"/>
      <c r="G283" s="72"/>
      <c r="H283" s="72"/>
      <c r="I283" s="72"/>
      <c r="J283" s="72"/>
      <c r="K283" s="72"/>
      <c r="L283" s="72" t="s">
        <v>778</v>
      </c>
      <c r="M283" s="72"/>
      <c r="N283" s="371">
        <v>2473.29</v>
      </c>
      <c r="O283" s="371">
        <v>2473.29</v>
      </c>
      <c r="P283" s="371">
        <v>2473.29</v>
      </c>
      <c r="Q283" s="595">
        <f t="shared" si="4"/>
        <v>1</v>
      </c>
    </row>
    <row r="284" spans="1:17" ht="16.5" hidden="1">
      <c r="A284" s="62" t="s">
        <v>779</v>
      </c>
      <c r="B284" s="72" t="s">
        <v>514</v>
      </c>
      <c r="C284" s="72" t="s">
        <v>251</v>
      </c>
      <c r="D284" s="72" t="s">
        <v>386</v>
      </c>
      <c r="E284" s="72"/>
      <c r="F284" s="72"/>
      <c r="G284" s="72"/>
      <c r="H284" s="72"/>
      <c r="I284" s="72"/>
      <c r="J284" s="72"/>
      <c r="K284" s="72"/>
      <c r="L284" s="72" t="s">
        <v>719</v>
      </c>
      <c r="M284" s="72" t="s">
        <v>640</v>
      </c>
      <c r="N284" s="371">
        <v>5.62</v>
      </c>
      <c r="O284" s="371">
        <v>5.62</v>
      </c>
      <c r="P284" s="371">
        <v>5.62</v>
      </c>
      <c r="Q284" s="595">
        <f t="shared" si="4"/>
        <v>1</v>
      </c>
    </row>
    <row r="285" spans="1:17" ht="16.5" hidden="1">
      <c r="A285" s="62" t="s">
        <v>780</v>
      </c>
      <c r="B285" s="72" t="s">
        <v>514</v>
      </c>
      <c r="C285" s="72" t="s">
        <v>251</v>
      </c>
      <c r="D285" s="72" t="s">
        <v>386</v>
      </c>
      <c r="E285" s="72"/>
      <c r="F285" s="72"/>
      <c r="G285" s="72"/>
      <c r="H285" s="72"/>
      <c r="I285" s="72"/>
      <c r="J285" s="72"/>
      <c r="K285" s="72"/>
      <c r="L285" s="72" t="s">
        <v>719</v>
      </c>
      <c r="M285" s="72" t="s">
        <v>641</v>
      </c>
      <c r="N285" s="371">
        <v>61</v>
      </c>
      <c r="O285" s="371">
        <v>61</v>
      </c>
      <c r="P285" s="371">
        <v>61</v>
      </c>
      <c r="Q285" s="595">
        <f t="shared" si="4"/>
        <v>1</v>
      </c>
    </row>
    <row r="286" spans="1:17" ht="16.5" hidden="1">
      <c r="A286" s="62" t="s">
        <v>781</v>
      </c>
      <c r="B286" s="72" t="s">
        <v>514</v>
      </c>
      <c r="C286" s="72" t="s">
        <v>251</v>
      </c>
      <c r="D286" s="72" t="s">
        <v>386</v>
      </c>
      <c r="E286" s="72"/>
      <c r="F286" s="72"/>
      <c r="G286" s="72"/>
      <c r="H286" s="72"/>
      <c r="I286" s="72"/>
      <c r="J286" s="72"/>
      <c r="K286" s="72"/>
      <c r="L286" s="72" t="s">
        <v>719</v>
      </c>
      <c r="M286" s="72" t="s">
        <v>642</v>
      </c>
      <c r="N286" s="371">
        <v>389.34000000000003</v>
      </c>
      <c r="O286" s="371">
        <v>389.34000000000003</v>
      </c>
      <c r="P286" s="371">
        <v>389.34000000000003</v>
      </c>
      <c r="Q286" s="595">
        <f t="shared" si="4"/>
        <v>1</v>
      </c>
    </row>
    <row r="287" spans="1:17" ht="16.5" hidden="1">
      <c r="A287" s="62" t="s">
        <v>782</v>
      </c>
      <c r="B287" s="72" t="s">
        <v>514</v>
      </c>
      <c r="C287" s="72" t="s">
        <v>251</v>
      </c>
      <c r="D287" s="72" t="s">
        <v>386</v>
      </c>
      <c r="E287" s="72"/>
      <c r="F287" s="72"/>
      <c r="G287" s="72"/>
      <c r="H287" s="72"/>
      <c r="I287" s="72"/>
      <c r="J287" s="72"/>
      <c r="K287" s="72"/>
      <c r="L287" s="72" t="s">
        <v>719</v>
      </c>
      <c r="M287" s="72" t="s">
        <v>643</v>
      </c>
      <c r="N287" s="371">
        <v>157.38</v>
      </c>
      <c r="O287" s="371">
        <v>157.38</v>
      </c>
      <c r="P287" s="371">
        <v>157.38</v>
      </c>
      <c r="Q287" s="595">
        <f t="shared" si="4"/>
        <v>1</v>
      </c>
    </row>
    <row r="288" spans="1:17" ht="16.5" hidden="1">
      <c r="A288" s="62" t="s">
        <v>783</v>
      </c>
      <c r="B288" s="72" t="s">
        <v>514</v>
      </c>
      <c r="C288" s="72" t="s">
        <v>251</v>
      </c>
      <c r="D288" s="72" t="s">
        <v>386</v>
      </c>
      <c r="E288" s="72"/>
      <c r="F288" s="72"/>
      <c r="G288" s="72"/>
      <c r="H288" s="72"/>
      <c r="I288" s="72"/>
      <c r="J288" s="72"/>
      <c r="K288" s="72"/>
      <c r="L288" s="72" t="s">
        <v>719</v>
      </c>
      <c r="M288" s="72" t="s">
        <v>644</v>
      </c>
      <c r="N288" s="371">
        <v>235.07</v>
      </c>
      <c r="O288" s="371">
        <v>235.07</v>
      </c>
      <c r="P288" s="371">
        <v>235.07</v>
      </c>
      <c r="Q288" s="595">
        <f t="shared" si="4"/>
        <v>1</v>
      </c>
    </row>
    <row r="289" spans="1:17" ht="16.5" hidden="1">
      <c r="A289" s="62" t="s">
        <v>784</v>
      </c>
      <c r="B289" s="72" t="s">
        <v>514</v>
      </c>
      <c r="C289" s="72" t="s">
        <v>251</v>
      </c>
      <c r="D289" s="72" t="s">
        <v>386</v>
      </c>
      <c r="E289" s="72"/>
      <c r="F289" s="72"/>
      <c r="G289" s="72"/>
      <c r="H289" s="72"/>
      <c r="I289" s="72"/>
      <c r="J289" s="72"/>
      <c r="K289" s="72"/>
      <c r="L289" s="72" t="s">
        <v>719</v>
      </c>
      <c r="M289" s="72" t="s">
        <v>645</v>
      </c>
      <c r="N289" s="371">
        <v>853.01</v>
      </c>
      <c r="O289" s="371">
        <v>853.01</v>
      </c>
      <c r="P289" s="371">
        <v>853.01</v>
      </c>
      <c r="Q289" s="595">
        <f t="shared" si="4"/>
        <v>1</v>
      </c>
    </row>
    <row r="290" spans="1:17" ht="16.5" hidden="1">
      <c r="A290" s="62" t="s">
        <v>785</v>
      </c>
      <c r="B290" s="72" t="s">
        <v>514</v>
      </c>
      <c r="C290" s="72" t="s">
        <v>251</v>
      </c>
      <c r="D290" s="72" t="s">
        <v>386</v>
      </c>
      <c r="E290" s="72"/>
      <c r="F290" s="72"/>
      <c r="G290" s="72"/>
      <c r="H290" s="72"/>
      <c r="I290" s="72"/>
      <c r="J290" s="72"/>
      <c r="K290" s="72"/>
      <c r="L290" s="72" t="s">
        <v>719</v>
      </c>
      <c r="M290" s="72" t="s">
        <v>646</v>
      </c>
      <c r="N290" s="371">
        <v>88.17</v>
      </c>
      <c r="O290" s="371">
        <v>88.17</v>
      </c>
      <c r="P290" s="371">
        <v>88.17</v>
      </c>
      <c r="Q290" s="595">
        <f t="shared" si="4"/>
        <v>1</v>
      </c>
    </row>
    <row r="291" spans="1:17" ht="16.5" hidden="1">
      <c r="A291" s="62" t="s">
        <v>786</v>
      </c>
      <c r="B291" s="72" t="s">
        <v>514</v>
      </c>
      <c r="C291" s="72" t="s">
        <v>251</v>
      </c>
      <c r="D291" s="72" t="s">
        <v>386</v>
      </c>
      <c r="E291" s="72"/>
      <c r="F291" s="72"/>
      <c r="G291" s="72"/>
      <c r="H291" s="72"/>
      <c r="I291" s="72"/>
      <c r="J291" s="72"/>
      <c r="K291" s="72"/>
      <c r="L291" s="72" t="s">
        <v>719</v>
      </c>
      <c r="M291" s="72" t="s">
        <v>647</v>
      </c>
      <c r="N291" s="371">
        <v>30</v>
      </c>
      <c r="O291" s="371">
        <v>30</v>
      </c>
      <c r="P291" s="371">
        <v>30</v>
      </c>
      <c r="Q291" s="595">
        <f t="shared" si="4"/>
        <v>1</v>
      </c>
    </row>
    <row r="292" spans="1:17" ht="16.5" hidden="1">
      <c r="A292" s="62" t="s">
        <v>787</v>
      </c>
      <c r="B292" s="72" t="s">
        <v>514</v>
      </c>
      <c r="C292" s="72" t="s">
        <v>251</v>
      </c>
      <c r="D292" s="72" t="s">
        <v>386</v>
      </c>
      <c r="E292" s="72"/>
      <c r="F292" s="72"/>
      <c r="G292" s="72"/>
      <c r="H292" s="72"/>
      <c r="I292" s="72"/>
      <c r="J292" s="72"/>
      <c r="K292" s="72"/>
      <c r="L292" s="72" t="s">
        <v>719</v>
      </c>
      <c r="M292" s="72" t="s">
        <v>648</v>
      </c>
      <c r="N292" s="371">
        <v>653.7</v>
      </c>
      <c r="O292" s="371">
        <v>653.7</v>
      </c>
      <c r="P292" s="371">
        <v>653.7</v>
      </c>
      <c r="Q292" s="595">
        <f t="shared" si="4"/>
        <v>1</v>
      </c>
    </row>
    <row r="293" spans="1:17" ht="16.5" hidden="1">
      <c r="A293" s="62" t="s">
        <v>510</v>
      </c>
      <c r="B293" s="72" t="s">
        <v>514</v>
      </c>
      <c r="C293" s="72" t="s">
        <v>483</v>
      </c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371">
        <v>0</v>
      </c>
      <c r="O293" s="371">
        <v>0</v>
      </c>
      <c r="P293" s="371">
        <v>0</v>
      </c>
      <c r="Q293" s="595" t="e">
        <f t="shared" si="4"/>
        <v>#DIV/0!</v>
      </c>
    </row>
    <row r="294" spans="1:17" ht="16.5" hidden="1">
      <c r="A294" s="62" t="s">
        <v>521</v>
      </c>
      <c r="B294" s="72" t="s">
        <v>514</v>
      </c>
      <c r="C294" s="72" t="s">
        <v>483</v>
      </c>
      <c r="D294" s="72" t="s">
        <v>391</v>
      </c>
      <c r="E294" s="72"/>
      <c r="F294" s="72"/>
      <c r="G294" s="72"/>
      <c r="H294" s="72"/>
      <c r="I294" s="72"/>
      <c r="J294" s="72"/>
      <c r="K294" s="72"/>
      <c r="L294" s="72"/>
      <c r="M294" s="72"/>
      <c r="N294" s="371">
        <v>0</v>
      </c>
      <c r="O294" s="371">
        <v>0</v>
      </c>
      <c r="P294" s="371">
        <v>0</v>
      </c>
      <c r="Q294" s="595" t="e">
        <f t="shared" si="4"/>
        <v>#DIV/0!</v>
      </c>
    </row>
    <row r="295" spans="1:17" ht="45" hidden="1">
      <c r="A295" s="62" t="s">
        <v>842</v>
      </c>
      <c r="B295" s="72" t="s">
        <v>514</v>
      </c>
      <c r="C295" s="72" t="s">
        <v>483</v>
      </c>
      <c r="D295" s="72" t="s">
        <v>391</v>
      </c>
      <c r="E295" s="72" t="s">
        <v>843</v>
      </c>
      <c r="F295" s="72"/>
      <c r="G295" s="72"/>
      <c r="H295" s="72"/>
      <c r="I295" s="72"/>
      <c r="J295" s="72"/>
      <c r="K295" s="72"/>
      <c r="L295" s="72" t="s">
        <v>844</v>
      </c>
      <c r="M295" s="72"/>
      <c r="N295" s="371"/>
      <c r="O295" s="371"/>
      <c r="P295" s="371"/>
      <c r="Q295" s="595" t="e">
        <f t="shared" si="4"/>
        <v>#DIV/0!</v>
      </c>
    </row>
    <row r="296" spans="1:17" ht="45" hidden="1">
      <c r="A296" s="62" t="s">
        <v>842</v>
      </c>
      <c r="B296" s="72" t="s">
        <v>514</v>
      </c>
      <c r="C296" s="72" t="s">
        <v>483</v>
      </c>
      <c r="D296" s="72" t="s">
        <v>391</v>
      </c>
      <c r="E296" s="72" t="s">
        <v>845</v>
      </c>
      <c r="F296" s="72"/>
      <c r="G296" s="72"/>
      <c r="H296" s="72"/>
      <c r="I296" s="72"/>
      <c r="J296" s="72"/>
      <c r="K296" s="72"/>
      <c r="L296" s="72" t="s">
        <v>844</v>
      </c>
      <c r="M296" s="72"/>
      <c r="N296" s="371"/>
      <c r="O296" s="371"/>
      <c r="P296" s="371"/>
      <c r="Q296" s="595" t="e">
        <f t="shared" si="4"/>
        <v>#DIV/0!</v>
      </c>
    </row>
    <row r="297" spans="1:17" ht="16.5" hidden="1">
      <c r="A297" s="62" t="s">
        <v>509</v>
      </c>
      <c r="B297" s="72" t="s">
        <v>514</v>
      </c>
      <c r="C297" s="72" t="s">
        <v>388</v>
      </c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371">
        <v>50</v>
      </c>
      <c r="O297" s="371">
        <v>50</v>
      </c>
      <c r="P297" s="371">
        <v>50</v>
      </c>
      <c r="Q297" s="595">
        <f t="shared" si="4"/>
        <v>1</v>
      </c>
    </row>
    <row r="298" spans="1:17" ht="45">
      <c r="A298" s="62" t="s">
        <v>846</v>
      </c>
      <c r="B298" s="72" t="s">
        <v>514</v>
      </c>
      <c r="C298" s="72" t="s">
        <v>251</v>
      </c>
      <c r="D298" s="72" t="s">
        <v>386</v>
      </c>
      <c r="E298" s="72" t="s">
        <v>770</v>
      </c>
      <c r="F298" s="72" t="s">
        <v>478</v>
      </c>
      <c r="G298" s="72" t="s">
        <v>528</v>
      </c>
      <c r="H298" s="72" t="s">
        <v>770</v>
      </c>
      <c r="I298" s="72" t="s">
        <v>478</v>
      </c>
      <c r="J298" s="72" t="s">
        <v>770</v>
      </c>
      <c r="K298" s="72" t="s">
        <v>528</v>
      </c>
      <c r="L298" s="72" t="s">
        <v>369</v>
      </c>
      <c r="M298" s="72"/>
      <c r="N298" s="371">
        <f>N299+N301</f>
        <v>12728.92</v>
      </c>
      <c r="O298" s="371">
        <f>O299+O301+O305</f>
        <v>11985.46</v>
      </c>
      <c r="P298" s="371">
        <f>P299+P301+P305</f>
        <v>11985.46</v>
      </c>
      <c r="Q298" s="595">
        <f t="shared" si="4"/>
        <v>1</v>
      </c>
    </row>
    <row r="299" spans="1:17" ht="72.75" customHeight="1">
      <c r="A299" s="62" t="s">
        <v>847</v>
      </c>
      <c r="B299" s="72" t="s">
        <v>514</v>
      </c>
      <c r="C299" s="72" t="s">
        <v>251</v>
      </c>
      <c r="D299" s="72" t="s">
        <v>386</v>
      </c>
      <c r="E299" s="72" t="s">
        <v>770</v>
      </c>
      <c r="F299" s="72" t="s">
        <v>478</v>
      </c>
      <c r="G299" s="72" t="s">
        <v>528</v>
      </c>
      <c r="H299" s="72" t="s">
        <v>770</v>
      </c>
      <c r="I299" s="72" t="s">
        <v>478</v>
      </c>
      <c r="J299" s="72" t="s">
        <v>770</v>
      </c>
      <c r="K299" s="72" t="s">
        <v>528</v>
      </c>
      <c r="L299" s="72" t="s">
        <v>434</v>
      </c>
      <c r="M299" s="72"/>
      <c r="N299" s="371">
        <f>12578.92+100</f>
        <v>12678.92</v>
      </c>
      <c r="O299" s="371">
        <v>11760.46</v>
      </c>
      <c r="P299" s="371">
        <v>11760.46</v>
      </c>
      <c r="Q299" s="595">
        <f t="shared" si="4"/>
        <v>1</v>
      </c>
    </row>
    <row r="300" spans="1:17" ht="24" customHeight="1">
      <c r="A300" s="62"/>
      <c r="B300" s="72" t="s">
        <v>514</v>
      </c>
      <c r="C300" s="72" t="s">
        <v>251</v>
      </c>
      <c r="D300" s="72" t="s">
        <v>386</v>
      </c>
      <c r="E300" s="72" t="s">
        <v>770</v>
      </c>
      <c r="F300" s="72" t="s">
        <v>478</v>
      </c>
      <c r="G300" s="72" t="s">
        <v>528</v>
      </c>
      <c r="H300" s="72" t="s">
        <v>770</v>
      </c>
      <c r="I300" s="72" t="s">
        <v>478</v>
      </c>
      <c r="J300" s="72" t="s">
        <v>770</v>
      </c>
      <c r="K300" s="72" t="s">
        <v>479</v>
      </c>
      <c r="L300" s="72" t="s">
        <v>434</v>
      </c>
      <c r="M300" s="72"/>
      <c r="N300" s="371"/>
      <c r="O300" s="371">
        <v>76.65</v>
      </c>
      <c r="P300" s="371">
        <v>76.65</v>
      </c>
      <c r="Q300" s="595">
        <f t="shared" si="4"/>
        <v>1</v>
      </c>
    </row>
    <row r="301" spans="1:17" ht="16.5">
      <c r="A301" s="62" t="s">
        <v>848</v>
      </c>
      <c r="B301" s="72" t="s">
        <v>514</v>
      </c>
      <c r="C301" s="72" t="s">
        <v>388</v>
      </c>
      <c r="D301" s="72" t="s">
        <v>388</v>
      </c>
      <c r="E301" s="72" t="s">
        <v>528</v>
      </c>
      <c r="F301" s="72" t="s">
        <v>480</v>
      </c>
      <c r="G301" s="72" t="s">
        <v>528</v>
      </c>
      <c r="H301" s="72" t="s">
        <v>481</v>
      </c>
      <c r="I301" s="72" t="s">
        <v>770</v>
      </c>
      <c r="J301" s="72" t="s">
        <v>478</v>
      </c>
      <c r="K301" s="72" t="s">
        <v>548</v>
      </c>
      <c r="L301" s="72" t="s">
        <v>434</v>
      </c>
      <c r="M301" s="72"/>
      <c r="N301" s="371">
        <v>50</v>
      </c>
      <c r="O301" s="371">
        <v>0</v>
      </c>
      <c r="P301" s="371">
        <v>0</v>
      </c>
      <c r="Q301" s="595" t="e">
        <f t="shared" si="4"/>
        <v>#DIV/0!</v>
      </c>
    </row>
    <row r="302" spans="1:17" ht="16.5" hidden="1">
      <c r="A302" s="62" t="s">
        <v>784</v>
      </c>
      <c r="B302" s="72" t="s">
        <v>514</v>
      </c>
      <c r="C302" s="72" t="s">
        <v>388</v>
      </c>
      <c r="D302" s="72" t="s">
        <v>388</v>
      </c>
      <c r="E302" s="72"/>
      <c r="F302" s="72"/>
      <c r="G302" s="72"/>
      <c r="H302" s="72"/>
      <c r="I302" s="72"/>
      <c r="J302" s="72"/>
      <c r="K302" s="72"/>
      <c r="L302" s="72" t="s">
        <v>719</v>
      </c>
      <c r="M302" s="72" t="s">
        <v>645</v>
      </c>
      <c r="N302" s="133">
        <v>50</v>
      </c>
      <c r="O302" s="371">
        <v>50</v>
      </c>
      <c r="P302" s="371"/>
      <c r="Q302" s="595">
        <f t="shared" si="4"/>
        <v>0</v>
      </c>
    </row>
    <row r="303" spans="1:17" ht="16.5" hidden="1">
      <c r="A303" s="62" t="s">
        <v>509</v>
      </c>
      <c r="B303" s="72" t="s">
        <v>514</v>
      </c>
      <c r="C303" s="72" t="s">
        <v>388</v>
      </c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133">
        <v>46992.87000000001</v>
      </c>
      <c r="O303" s="371">
        <v>46992.87000000001</v>
      </c>
      <c r="P303" s="371"/>
      <c r="Q303" s="595">
        <f t="shared" si="4"/>
        <v>0</v>
      </c>
    </row>
    <row r="304" spans="1:17" ht="16.5" hidden="1">
      <c r="A304" s="62" t="s">
        <v>512</v>
      </c>
      <c r="B304" s="72" t="s">
        <v>514</v>
      </c>
      <c r="C304" s="72" t="s">
        <v>388</v>
      </c>
      <c r="D304" s="72" t="s">
        <v>386</v>
      </c>
      <c r="E304" s="72"/>
      <c r="F304" s="72"/>
      <c r="G304" s="72"/>
      <c r="H304" s="72"/>
      <c r="I304" s="72"/>
      <c r="J304" s="72"/>
      <c r="K304" s="72"/>
      <c r="L304" s="72"/>
      <c r="M304" s="72"/>
      <c r="N304" s="133">
        <v>46992.87000000001</v>
      </c>
      <c r="O304" s="371">
        <v>46992.87000000001</v>
      </c>
      <c r="P304" s="371"/>
      <c r="Q304" s="595">
        <f t="shared" si="4"/>
        <v>0</v>
      </c>
    </row>
    <row r="305" spans="1:17" ht="120">
      <c r="A305" s="62" t="s">
        <v>952</v>
      </c>
      <c r="B305" s="72" t="s">
        <v>514</v>
      </c>
      <c r="C305" s="72" t="s">
        <v>251</v>
      </c>
      <c r="D305" s="72" t="s">
        <v>386</v>
      </c>
      <c r="E305" s="72" t="s">
        <v>552</v>
      </c>
      <c r="F305" s="72" t="s">
        <v>552</v>
      </c>
      <c r="G305" s="72" t="s">
        <v>528</v>
      </c>
      <c r="H305" s="72" t="s">
        <v>552</v>
      </c>
      <c r="I305" s="72" t="s">
        <v>770</v>
      </c>
      <c r="J305" s="72" t="s">
        <v>770</v>
      </c>
      <c r="K305" s="72" t="s">
        <v>528</v>
      </c>
      <c r="L305" s="72" t="s">
        <v>434</v>
      </c>
      <c r="M305" s="72"/>
      <c r="N305" s="133">
        <v>0</v>
      </c>
      <c r="O305" s="371">
        <v>225</v>
      </c>
      <c r="P305" s="371">
        <v>225</v>
      </c>
      <c r="Q305" s="595">
        <f t="shared" si="4"/>
        <v>1</v>
      </c>
    </row>
    <row r="306" spans="1:17" s="79" customFormat="1" ht="51" customHeight="1">
      <c r="A306" s="378" t="s">
        <v>849</v>
      </c>
      <c r="B306" s="358" t="s">
        <v>514</v>
      </c>
      <c r="C306" s="358" t="s">
        <v>388</v>
      </c>
      <c r="D306" s="358" t="s">
        <v>810</v>
      </c>
      <c r="E306" s="358" t="s">
        <v>770</v>
      </c>
      <c r="F306" s="358" t="s">
        <v>770</v>
      </c>
      <c r="G306" s="358"/>
      <c r="H306" s="358"/>
      <c r="I306" s="358"/>
      <c r="J306" s="358"/>
      <c r="K306" s="358"/>
      <c r="L306" s="358" t="s">
        <v>434</v>
      </c>
      <c r="M306" s="358"/>
      <c r="N306" s="376">
        <f>N321+N342+N384+N386</f>
        <v>374812.04500000004</v>
      </c>
      <c r="O306" s="372">
        <f>O321+O342+O384+O386</f>
        <v>375560.98000000004</v>
      </c>
      <c r="P306" s="372">
        <f>P321+P342+P384+P386</f>
        <v>365954.3</v>
      </c>
      <c r="Q306" s="595">
        <f t="shared" si="4"/>
        <v>0.9744204523057746</v>
      </c>
    </row>
    <row r="307" spans="1:17" ht="16.5" hidden="1">
      <c r="A307" s="62" t="s">
        <v>850</v>
      </c>
      <c r="B307" s="72" t="s">
        <v>514</v>
      </c>
      <c r="C307" s="72" t="s">
        <v>388</v>
      </c>
      <c r="D307" s="72" t="s">
        <v>386</v>
      </c>
      <c r="E307" s="72"/>
      <c r="F307" s="72"/>
      <c r="G307" s="72"/>
      <c r="H307" s="72"/>
      <c r="I307" s="72"/>
      <c r="J307" s="72"/>
      <c r="K307" s="72"/>
      <c r="L307" s="72" t="s">
        <v>719</v>
      </c>
      <c r="M307" s="72"/>
      <c r="N307" s="133">
        <v>8485.67</v>
      </c>
      <c r="O307" s="371">
        <v>8485.67</v>
      </c>
      <c r="P307" s="371"/>
      <c r="Q307" s="595">
        <f t="shared" si="4"/>
        <v>0</v>
      </c>
    </row>
    <row r="308" spans="1:17" ht="16.5" hidden="1">
      <c r="A308" s="62" t="s">
        <v>774</v>
      </c>
      <c r="B308" s="72" t="s">
        <v>514</v>
      </c>
      <c r="C308" s="72" t="s">
        <v>388</v>
      </c>
      <c r="D308" s="72" t="s">
        <v>386</v>
      </c>
      <c r="E308" s="72"/>
      <c r="F308" s="72"/>
      <c r="G308" s="72"/>
      <c r="H308" s="72"/>
      <c r="I308" s="72"/>
      <c r="J308" s="72"/>
      <c r="K308" s="72"/>
      <c r="L308" s="72" t="s">
        <v>719</v>
      </c>
      <c r="M308" s="72" t="s">
        <v>636</v>
      </c>
      <c r="N308" s="133">
        <v>6476.860000000001</v>
      </c>
      <c r="O308" s="371">
        <v>6476.860000000001</v>
      </c>
      <c r="P308" s="371"/>
      <c r="Q308" s="595">
        <f t="shared" si="4"/>
        <v>0</v>
      </c>
    </row>
    <row r="309" spans="1:17" ht="16.5" hidden="1">
      <c r="A309" s="62" t="s">
        <v>785</v>
      </c>
      <c r="B309" s="72" t="s">
        <v>514</v>
      </c>
      <c r="C309" s="72" t="s">
        <v>388</v>
      </c>
      <c r="D309" s="72" t="s">
        <v>386</v>
      </c>
      <c r="E309" s="72"/>
      <c r="F309" s="72"/>
      <c r="G309" s="72"/>
      <c r="H309" s="72"/>
      <c r="I309" s="72"/>
      <c r="J309" s="72"/>
      <c r="K309" s="72"/>
      <c r="L309" s="72" t="s">
        <v>719</v>
      </c>
      <c r="M309" s="72" t="s">
        <v>660</v>
      </c>
      <c r="N309" s="133">
        <v>52.8</v>
      </c>
      <c r="O309" s="371">
        <v>52.8</v>
      </c>
      <c r="P309" s="371"/>
      <c r="Q309" s="595">
        <f t="shared" si="4"/>
        <v>0</v>
      </c>
    </row>
    <row r="310" spans="1:17" ht="16.5" hidden="1">
      <c r="A310" s="62" t="s">
        <v>775</v>
      </c>
      <c r="B310" s="72" t="s">
        <v>514</v>
      </c>
      <c r="C310" s="72" t="s">
        <v>388</v>
      </c>
      <c r="D310" s="72" t="s">
        <v>386</v>
      </c>
      <c r="E310" s="72"/>
      <c r="F310" s="72"/>
      <c r="G310" s="72"/>
      <c r="H310" s="72"/>
      <c r="I310" s="72"/>
      <c r="J310" s="72"/>
      <c r="K310" s="72"/>
      <c r="L310" s="72" t="s">
        <v>719</v>
      </c>
      <c r="M310" s="72" t="s">
        <v>637</v>
      </c>
      <c r="N310" s="133">
        <v>1956.0100000000002</v>
      </c>
      <c r="O310" s="371">
        <v>1956.0100000000002</v>
      </c>
      <c r="P310" s="371"/>
      <c r="Q310" s="595">
        <f t="shared" si="4"/>
        <v>0</v>
      </c>
    </row>
    <row r="311" spans="1:17" ht="30" hidden="1">
      <c r="A311" s="62" t="s">
        <v>777</v>
      </c>
      <c r="B311" s="72" t="s">
        <v>514</v>
      </c>
      <c r="C311" s="72" t="s">
        <v>388</v>
      </c>
      <c r="D311" s="72" t="s">
        <v>386</v>
      </c>
      <c r="E311" s="72"/>
      <c r="F311" s="72"/>
      <c r="G311" s="72"/>
      <c r="H311" s="72"/>
      <c r="I311" s="72"/>
      <c r="J311" s="72"/>
      <c r="K311" s="72"/>
      <c r="L311" s="72" t="s">
        <v>719</v>
      </c>
      <c r="M311" s="72"/>
      <c r="N311" s="133">
        <v>5277.2</v>
      </c>
      <c r="O311" s="371">
        <v>5277.2</v>
      </c>
      <c r="P311" s="371"/>
      <c r="Q311" s="595">
        <f t="shared" si="4"/>
        <v>0</v>
      </c>
    </row>
    <row r="312" spans="1:17" ht="16.5" hidden="1">
      <c r="A312" s="62" t="s">
        <v>779</v>
      </c>
      <c r="B312" s="72" t="s">
        <v>514</v>
      </c>
      <c r="C312" s="72" t="s">
        <v>388</v>
      </c>
      <c r="D312" s="72" t="s">
        <v>386</v>
      </c>
      <c r="E312" s="72"/>
      <c r="F312" s="72"/>
      <c r="G312" s="72"/>
      <c r="H312" s="72"/>
      <c r="I312" s="72"/>
      <c r="J312" s="72"/>
      <c r="K312" s="72"/>
      <c r="L312" s="72" t="s">
        <v>719</v>
      </c>
      <c r="M312" s="72" t="s">
        <v>640</v>
      </c>
      <c r="N312" s="133">
        <v>78.2</v>
      </c>
      <c r="O312" s="371">
        <v>78.2</v>
      </c>
      <c r="P312" s="371"/>
      <c r="Q312" s="595">
        <f t="shared" si="4"/>
        <v>0</v>
      </c>
    </row>
    <row r="313" spans="1:17" ht="16.5" hidden="1">
      <c r="A313" s="62" t="s">
        <v>780</v>
      </c>
      <c r="B313" s="72" t="s">
        <v>514</v>
      </c>
      <c r="C313" s="72" t="s">
        <v>388</v>
      </c>
      <c r="D313" s="72" t="s">
        <v>386</v>
      </c>
      <c r="E313" s="72"/>
      <c r="F313" s="72"/>
      <c r="G313" s="72"/>
      <c r="H313" s="72"/>
      <c r="I313" s="72"/>
      <c r="J313" s="72"/>
      <c r="K313" s="72"/>
      <c r="L313" s="72" t="s">
        <v>719</v>
      </c>
      <c r="M313" s="72" t="s">
        <v>641</v>
      </c>
      <c r="N313" s="133">
        <v>0</v>
      </c>
      <c r="O313" s="371">
        <v>0</v>
      </c>
      <c r="P313" s="371"/>
      <c r="Q313" s="595" t="e">
        <f t="shared" si="4"/>
        <v>#DIV/0!</v>
      </c>
    </row>
    <row r="314" spans="1:17" ht="16.5" hidden="1">
      <c r="A314" s="62" t="s">
        <v>781</v>
      </c>
      <c r="B314" s="72" t="s">
        <v>514</v>
      </c>
      <c r="C314" s="72" t="s">
        <v>388</v>
      </c>
      <c r="D314" s="72" t="s">
        <v>386</v>
      </c>
      <c r="E314" s="72"/>
      <c r="F314" s="72"/>
      <c r="G314" s="72"/>
      <c r="H314" s="72"/>
      <c r="I314" s="72"/>
      <c r="J314" s="72"/>
      <c r="K314" s="72"/>
      <c r="L314" s="72" t="s">
        <v>719</v>
      </c>
      <c r="M314" s="72" t="s">
        <v>642</v>
      </c>
      <c r="N314" s="133">
        <v>3292.68</v>
      </c>
      <c r="O314" s="371">
        <v>3292.68</v>
      </c>
      <c r="P314" s="371"/>
      <c r="Q314" s="595">
        <f t="shared" si="4"/>
        <v>0</v>
      </c>
    </row>
    <row r="315" spans="1:17" ht="16.5" hidden="1">
      <c r="A315" s="62" t="s">
        <v>782</v>
      </c>
      <c r="B315" s="72" t="s">
        <v>514</v>
      </c>
      <c r="C315" s="72" t="s">
        <v>388</v>
      </c>
      <c r="D315" s="72" t="s">
        <v>386</v>
      </c>
      <c r="E315" s="72"/>
      <c r="F315" s="72"/>
      <c r="G315" s="72"/>
      <c r="H315" s="72"/>
      <c r="I315" s="72"/>
      <c r="J315" s="72"/>
      <c r="K315" s="72"/>
      <c r="L315" s="72" t="s">
        <v>719</v>
      </c>
      <c r="M315" s="72" t="s">
        <v>643</v>
      </c>
      <c r="N315" s="133">
        <v>0</v>
      </c>
      <c r="O315" s="371">
        <v>0</v>
      </c>
      <c r="P315" s="371"/>
      <c r="Q315" s="595" t="e">
        <f t="shared" si="4"/>
        <v>#DIV/0!</v>
      </c>
    </row>
    <row r="316" spans="1:17" ht="16.5" hidden="1">
      <c r="A316" s="62" t="s">
        <v>783</v>
      </c>
      <c r="B316" s="72" t="s">
        <v>514</v>
      </c>
      <c r="C316" s="72" t="s">
        <v>388</v>
      </c>
      <c r="D316" s="72" t="s">
        <v>386</v>
      </c>
      <c r="E316" s="72"/>
      <c r="F316" s="72"/>
      <c r="G316" s="72"/>
      <c r="H316" s="72"/>
      <c r="I316" s="72"/>
      <c r="J316" s="72"/>
      <c r="K316" s="72"/>
      <c r="L316" s="72" t="s">
        <v>719</v>
      </c>
      <c r="M316" s="72" t="s">
        <v>644</v>
      </c>
      <c r="N316" s="133">
        <v>510.58</v>
      </c>
      <c r="O316" s="371">
        <v>510.58</v>
      </c>
      <c r="P316" s="371"/>
      <c r="Q316" s="595">
        <f t="shared" si="4"/>
        <v>0</v>
      </c>
    </row>
    <row r="317" spans="1:17" ht="16.5" hidden="1">
      <c r="A317" s="62" t="s">
        <v>784</v>
      </c>
      <c r="B317" s="72" t="s">
        <v>514</v>
      </c>
      <c r="C317" s="72" t="s">
        <v>388</v>
      </c>
      <c r="D317" s="72" t="s">
        <v>386</v>
      </c>
      <c r="E317" s="72"/>
      <c r="F317" s="72"/>
      <c r="G317" s="72"/>
      <c r="H317" s="72"/>
      <c r="I317" s="72"/>
      <c r="J317" s="72"/>
      <c r="K317" s="72"/>
      <c r="L317" s="72" t="s">
        <v>719</v>
      </c>
      <c r="M317" s="72" t="s">
        <v>645</v>
      </c>
      <c r="N317" s="133">
        <v>1034.74</v>
      </c>
      <c r="O317" s="371">
        <v>1034.74</v>
      </c>
      <c r="P317" s="371"/>
      <c r="Q317" s="595">
        <f t="shared" si="4"/>
        <v>0</v>
      </c>
    </row>
    <row r="318" spans="1:17" ht="16.5" hidden="1">
      <c r="A318" s="62" t="s">
        <v>785</v>
      </c>
      <c r="B318" s="72" t="s">
        <v>514</v>
      </c>
      <c r="C318" s="72" t="s">
        <v>388</v>
      </c>
      <c r="D318" s="72" t="s">
        <v>386</v>
      </c>
      <c r="E318" s="72"/>
      <c r="F318" s="72"/>
      <c r="G318" s="72"/>
      <c r="H318" s="72"/>
      <c r="I318" s="72"/>
      <c r="J318" s="72"/>
      <c r="K318" s="72"/>
      <c r="L318" s="72" t="s">
        <v>719</v>
      </c>
      <c r="M318" s="72" t="s">
        <v>646</v>
      </c>
      <c r="N318" s="133">
        <v>43</v>
      </c>
      <c r="O318" s="371">
        <v>43</v>
      </c>
      <c r="P318" s="371"/>
      <c r="Q318" s="595">
        <f t="shared" si="4"/>
        <v>0</v>
      </c>
    </row>
    <row r="319" spans="1:17" ht="16.5" hidden="1">
      <c r="A319" s="62" t="s">
        <v>786</v>
      </c>
      <c r="B319" s="72" t="s">
        <v>514</v>
      </c>
      <c r="C319" s="72" t="s">
        <v>388</v>
      </c>
      <c r="D319" s="72" t="s">
        <v>386</v>
      </c>
      <c r="E319" s="72"/>
      <c r="F319" s="72"/>
      <c r="G319" s="72"/>
      <c r="H319" s="72"/>
      <c r="I319" s="72"/>
      <c r="J319" s="72"/>
      <c r="K319" s="72"/>
      <c r="L319" s="72" t="s">
        <v>719</v>
      </c>
      <c r="M319" s="72" t="s">
        <v>647</v>
      </c>
      <c r="N319" s="133">
        <v>0</v>
      </c>
      <c r="O319" s="371">
        <v>0</v>
      </c>
      <c r="P319" s="371"/>
      <c r="Q319" s="595" t="e">
        <f t="shared" si="4"/>
        <v>#DIV/0!</v>
      </c>
    </row>
    <row r="320" spans="1:17" ht="16.5" hidden="1">
      <c r="A320" s="62" t="s">
        <v>787</v>
      </c>
      <c r="B320" s="72" t="s">
        <v>514</v>
      </c>
      <c r="C320" s="72" t="s">
        <v>388</v>
      </c>
      <c r="D320" s="72" t="s">
        <v>386</v>
      </c>
      <c r="E320" s="72"/>
      <c r="F320" s="72"/>
      <c r="G320" s="72"/>
      <c r="H320" s="72"/>
      <c r="I320" s="72"/>
      <c r="J320" s="72"/>
      <c r="K320" s="72"/>
      <c r="L320" s="72" t="s">
        <v>719</v>
      </c>
      <c r="M320" s="72" t="s">
        <v>648</v>
      </c>
      <c r="N320" s="133">
        <v>318</v>
      </c>
      <c r="O320" s="371">
        <v>318</v>
      </c>
      <c r="P320" s="371"/>
      <c r="Q320" s="595">
        <f t="shared" si="4"/>
        <v>0</v>
      </c>
    </row>
    <row r="321" spans="1:17" ht="38.25" customHeight="1">
      <c r="A321" s="62" t="s">
        <v>851</v>
      </c>
      <c r="B321" s="72" t="s">
        <v>514</v>
      </c>
      <c r="C321" s="72" t="s">
        <v>388</v>
      </c>
      <c r="D321" s="72" t="s">
        <v>386</v>
      </c>
      <c r="E321" s="72" t="s">
        <v>770</v>
      </c>
      <c r="F321" s="72" t="s">
        <v>528</v>
      </c>
      <c r="G321" s="72" t="s">
        <v>528</v>
      </c>
      <c r="H321" s="72" t="s">
        <v>770</v>
      </c>
      <c r="I321" s="72" t="s">
        <v>528</v>
      </c>
      <c r="J321" s="72" t="s">
        <v>770</v>
      </c>
      <c r="K321" s="72" t="s">
        <v>528</v>
      </c>
      <c r="L321" s="72" t="s">
        <v>369</v>
      </c>
      <c r="M321" s="72"/>
      <c r="N321" s="133">
        <f>N322+N324</f>
        <v>37255.58</v>
      </c>
      <c r="O321" s="371">
        <f>O322+O324+O341+O323</f>
        <v>53372.850000000006</v>
      </c>
      <c r="P321" s="371">
        <f>P322+P324+P341+P323</f>
        <v>51029.89</v>
      </c>
      <c r="Q321" s="595">
        <f t="shared" si="4"/>
        <v>0.9561020256553658</v>
      </c>
    </row>
    <row r="322" spans="1:19" ht="61.5" customHeight="1">
      <c r="A322" s="62" t="s">
        <v>852</v>
      </c>
      <c r="B322" s="72" t="s">
        <v>514</v>
      </c>
      <c r="C322" s="72" t="s">
        <v>388</v>
      </c>
      <c r="D322" s="72" t="s">
        <v>386</v>
      </c>
      <c r="E322" s="72" t="s">
        <v>770</v>
      </c>
      <c r="F322" s="72" t="s">
        <v>528</v>
      </c>
      <c r="G322" s="72" t="s">
        <v>528</v>
      </c>
      <c r="H322" s="72" t="s">
        <v>770</v>
      </c>
      <c r="I322" s="72" t="s">
        <v>528</v>
      </c>
      <c r="J322" s="72" t="s">
        <v>770</v>
      </c>
      <c r="K322" s="72" t="s">
        <v>528</v>
      </c>
      <c r="L322" s="72" t="s">
        <v>434</v>
      </c>
      <c r="M322" s="72"/>
      <c r="N322" s="408">
        <v>15175.48</v>
      </c>
      <c r="O322" s="371">
        <v>14242.41</v>
      </c>
      <c r="P322" s="371">
        <v>11899.45</v>
      </c>
      <c r="Q322" s="595">
        <f t="shared" si="4"/>
        <v>0.8354941333664738</v>
      </c>
      <c r="R322" s="81">
        <f>N322+N324+N341</f>
        <v>37255.58</v>
      </c>
      <c r="S322" s="81">
        <f>O322+O324+O341</f>
        <v>49958.100000000006</v>
      </c>
    </row>
    <row r="323" spans="1:19" ht="61.5" customHeight="1">
      <c r="A323" s="62" t="s">
        <v>1004</v>
      </c>
      <c r="B323" s="72" t="s">
        <v>514</v>
      </c>
      <c r="C323" s="72" t="s">
        <v>388</v>
      </c>
      <c r="D323" s="72" t="s">
        <v>386</v>
      </c>
      <c r="E323" s="72" t="s">
        <v>770</v>
      </c>
      <c r="F323" s="72" t="s">
        <v>528</v>
      </c>
      <c r="G323" s="72" t="s">
        <v>478</v>
      </c>
      <c r="H323" s="72" t="s">
        <v>770</v>
      </c>
      <c r="I323" s="72" t="s">
        <v>528</v>
      </c>
      <c r="J323" s="72" t="s">
        <v>770</v>
      </c>
      <c r="K323" s="72" t="s">
        <v>479</v>
      </c>
      <c r="L323" s="72" t="s">
        <v>434</v>
      </c>
      <c r="M323" s="72"/>
      <c r="N323" s="408"/>
      <c r="O323" s="371">
        <v>3414.75</v>
      </c>
      <c r="P323" s="371">
        <v>3414.75</v>
      </c>
      <c r="Q323" s="595">
        <f t="shared" si="4"/>
        <v>1</v>
      </c>
      <c r="R323" s="81"/>
      <c r="S323" s="81"/>
    </row>
    <row r="324" spans="1:17" ht="51" customHeight="1">
      <c r="A324" s="62" t="s">
        <v>853</v>
      </c>
      <c r="B324" s="72" t="s">
        <v>514</v>
      </c>
      <c r="C324" s="72" t="s">
        <v>388</v>
      </c>
      <c r="D324" s="72" t="s">
        <v>386</v>
      </c>
      <c r="E324" s="72" t="s">
        <v>770</v>
      </c>
      <c r="F324" s="72" t="s">
        <v>478</v>
      </c>
      <c r="G324" s="72" t="s">
        <v>789</v>
      </c>
      <c r="H324" s="72" t="s">
        <v>481</v>
      </c>
      <c r="I324" s="72" t="s">
        <v>770</v>
      </c>
      <c r="J324" s="72" t="s">
        <v>528</v>
      </c>
      <c r="K324" s="72" t="s">
        <v>470</v>
      </c>
      <c r="L324" s="72" t="s">
        <v>434</v>
      </c>
      <c r="M324" s="72"/>
      <c r="N324" s="133">
        <v>22080.1</v>
      </c>
      <c r="O324" s="371">
        <v>35535.69</v>
      </c>
      <c r="P324" s="371">
        <v>35535.69</v>
      </c>
      <c r="Q324" s="595">
        <f t="shared" si="4"/>
        <v>1</v>
      </c>
    </row>
    <row r="325" spans="1:17" ht="16.5" hidden="1">
      <c r="A325" s="62" t="s">
        <v>774</v>
      </c>
      <c r="B325" s="72" t="s">
        <v>514</v>
      </c>
      <c r="C325" s="72" t="s">
        <v>388</v>
      </c>
      <c r="D325" s="72" t="s">
        <v>386</v>
      </c>
      <c r="E325" s="72"/>
      <c r="F325" s="72"/>
      <c r="G325" s="72"/>
      <c r="H325" s="72"/>
      <c r="I325" s="72"/>
      <c r="J325" s="72"/>
      <c r="K325" s="72"/>
      <c r="L325" s="72" t="s">
        <v>719</v>
      </c>
      <c r="M325" s="72" t="s">
        <v>636</v>
      </c>
      <c r="N325" s="133">
        <v>21707.120000000003</v>
      </c>
      <c r="O325" s="371">
        <v>21707.120000000003</v>
      </c>
      <c r="P325" s="371"/>
      <c r="Q325" s="595">
        <f t="shared" si="4"/>
        <v>0</v>
      </c>
    </row>
    <row r="326" spans="1:17" ht="16.5" hidden="1">
      <c r="A326" s="62" t="s">
        <v>775</v>
      </c>
      <c r="B326" s="72" t="s">
        <v>514</v>
      </c>
      <c r="C326" s="72" t="s">
        <v>388</v>
      </c>
      <c r="D326" s="72" t="s">
        <v>386</v>
      </c>
      <c r="E326" s="72"/>
      <c r="F326" s="72"/>
      <c r="G326" s="72"/>
      <c r="H326" s="72"/>
      <c r="I326" s="72"/>
      <c r="J326" s="72"/>
      <c r="K326" s="72"/>
      <c r="L326" s="72" t="s">
        <v>719</v>
      </c>
      <c r="M326" s="72" t="s">
        <v>637</v>
      </c>
      <c r="N326" s="133">
        <v>8831.630000000001</v>
      </c>
      <c r="O326" s="371">
        <v>8831.630000000001</v>
      </c>
      <c r="P326" s="371"/>
      <c r="Q326" s="595">
        <f t="shared" si="4"/>
        <v>0</v>
      </c>
    </row>
    <row r="327" spans="1:17" ht="16.5" hidden="1">
      <c r="A327" s="62" t="s">
        <v>784</v>
      </c>
      <c r="B327" s="72" t="s">
        <v>514</v>
      </c>
      <c r="C327" s="72" t="s">
        <v>388</v>
      </c>
      <c r="D327" s="72" t="s">
        <v>386</v>
      </c>
      <c r="E327" s="72"/>
      <c r="F327" s="72"/>
      <c r="G327" s="72"/>
      <c r="H327" s="72"/>
      <c r="I327" s="72"/>
      <c r="J327" s="72"/>
      <c r="K327" s="72"/>
      <c r="L327" s="72" t="s">
        <v>719</v>
      </c>
      <c r="M327" s="72" t="s">
        <v>645</v>
      </c>
      <c r="N327" s="133">
        <v>0</v>
      </c>
      <c r="O327" s="371">
        <v>0</v>
      </c>
      <c r="P327" s="371"/>
      <c r="Q327" s="595" t="e">
        <f t="shared" si="4"/>
        <v>#DIV/0!</v>
      </c>
    </row>
    <row r="328" spans="1:17" ht="16.5" hidden="1">
      <c r="A328" s="62" t="s">
        <v>786</v>
      </c>
      <c r="B328" s="72" t="s">
        <v>514</v>
      </c>
      <c r="C328" s="72" t="s">
        <v>388</v>
      </c>
      <c r="D328" s="72" t="s">
        <v>386</v>
      </c>
      <c r="E328" s="72"/>
      <c r="F328" s="72"/>
      <c r="G328" s="72"/>
      <c r="H328" s="72"/>
      <c r="I328" s="72"/>
      <c r="J328" s="72"/>
      <c r="K328" s="72"/>
      <c r="L328" s="72" t="s">
        <v>719</v>
      </c>
      <c r="M328" s="72" t="s">
        <v>647</v>
      </c>
      <c r="N328" s="133">
        <v>0</v>
      </c>
      <c r="O328" s="371">
        <v>0</v>
      </c>
      <c r="P328" s="371"/>
      <c r="Q328" s="595" t="e">
        <f t="shared" si="4"/>
        <v>#DIV/0!</v>
      </c>
    </row>
    <row r="329" spans="1:17" ht="16.5" hidden="1">
      <c r="A329" s="62" t="s">
        <v>787</v>
      </c>
      <c r="B329" s="72" t="s">
        <v>514</v>
      </c>
      <c r="C329" s="72" t="s">
        <v>388</v>
      </c>
      <c r="D329" s="72" t="s">
        <v>386</v>
      </c>
      <c r="E329" s="72"/>
      <c r="F329" s="72"/>
      <c r="G329" s="72"/>
      <c r="H329" s="72"/>
      <c r="I329" s="72"/>
      <c r="J329" s="72"/>
      <c r="K329" s="72"/>
      <c r="L329" s="72" t="s">
        <v>719</v>
      </c>
      <c r="M329" s="72" t="s">
        <v>648</v>
      </c>
      <c r="N329" s="133">
        <v>449.81</v>
      </c>
      <c r="O329" s="371">
        <v>449.81</v>
      </c>
      <c r="P329" s="371"/>
      <c r="Q329" s="595">
        <f t="shared" si="4"/>
        <v>0</v>
      </c>
    </row>
    <row r="330" spans="1:17" s="79" customFormat="1" ht="28.5" customHeight="1" hidden="1">
      <c r="A330" s="378" t="s">
        <v>854</v>
      </c>
      <c r="B330" s="358" t="s">
        <v>514</v>
      </c>
      <c r="C330" s="358" t="s">
        <v>388</v>
      </c>
      <c r="D330" s="358" t="s">
        <v>386</v>
      </c>
      <c r="E330" s="358"/>
      <c r="F330" s="358"/>
      <c r="G330" s="358"/>
      <c r="H330" s="358"/>
      <c r="I330" s="358"/>
      <c r="J330" s="358"/>
      <c r="K330" s="358"/>
      <c r="L330" s="358" t="s">
        <v>369</v>
      </c>
      <c r="M330" s="358"/>
      <c r="N330" s="376">
        <v>0</v>
      </c>
      <c r="O330" s="372">
        <v>0</v>
      </c>
      <c r="P330" s="372"/>
      <c r="Q330" s="595" t="e">
        <f t="shared" si="4"/>
        <v>#DIV/0!</v>
      </c>
    </row>
    <row r="331" spans="1:17" ht="16.5" hidden="1">
      <c r="A331" s="62" t="s">
        <v>774</v>
      </c>
      <c r="B331" s="72" t="s">
        <v>514</v>
      </c>
      <c r="C331" s="72" t="s">
        <v>388</v>
      </c>
      <c r="D331" s="72" t="s">
        <v>386</v>
      </c>
      <c r="E331" s="72"/>
      <c r="F331" s="72"/>
      <c r="G331" s="72"/>
      <c r="H331" s="72"/>
      <c r="I331" s="72"/>
      <c r="J331" s="72"/>
      <c r="K331" s="72"/>
      <c r="L331" s="72" t="s">
        <v>719</v>
      </c>
      <c r="M331" s="72" t="s">
        <v>636</v>
      </c>
      <c r="N331" s="133"/>
      <c r="O331" s="371"/>
      <c r="P331" s="371"/>
      <c r="Q331" s="595" t="e">
        <f t="shared" si="4"/>
        <v>#DIV/0!</v>
      </c>
    </row>
    <row r="332" spans="1:17" ht="16.5" hidden="1">
      <c r="A332" s="62" t="s">
        <v>775</v>
      </c>
      <c r="B332" s="72" t="s">
        <v>514</v>
      </c>
      <c r="C332" s="72" t="s">
        <v>388</v>
      </c>
      <c r="D332" s="72" t="s">
        <v>386</v>
      </c>
      <c r="E332" s="72"/>
      <c r="F332" s="72"/>
      <c r="G332" s="72"/>
      <c r="H332" s="72"/>
      <c r="I332" s="72"/>
      <c r="J332" s="72"/>
      <c r="K332" s="72"/>
      <c r="L332" s="72" t="s">
        <v>719</v>
      </c>
      <c r="M332" s="72" t="s">
        <v>637</v>
      </c>
      <c r="N332" s="133"/>
      <c r="O332" s="371"/>
      <c r="P332" s="371"/>
      <c r="Q332" s="595" t="e">
        <f aca="true" t="shared" si="5" ref="Q332:Q395">P332/O332</f>
        <v>#DIV/0!</v>
      </c>
    </row>
    <row r="333" spans="1:17" ht="16.5" hidden="1">
      <c r="A333" s="62" t="s">
        <v>784</v>
      </c>
      <c r="B333" s="72" t="s">
        <v>514</v>
      </c>
      <c r="C333" s="72" t="s">
        <v>388</v>
      </c>
      <c r="D333" s="72" t="s">
        <v>386</v>
      </c>
      <c r="E333" s="72"/>
      <c r="F333" s="72"/>
      <c r="G333" s="72"/>
      <c r="H333" s="72"/>
      <c r="I333" s="72"/>
      <c r="J333" s="72"/>
      <c r="K333" s="72"/>
      <c r="L333" s="72" t="s">
        <v>719</v>
      </c>
      <c r="M333" s="72" t="s">
        <v>645</v>
      </c>
      <c r="N333" s="133">
        <v>55.21</v>
      </c>
      <c r="O333" s="371">
        <v>55.21</v>
      </c>
      <c r="P333" s="371"/>
      <c r="Q333" s="595">
        <f t="shared" si="5"/>
        <v>0</v>
      </c>
    </row>
    <row r="334" spans="1:17" ht="16.5" hidden="1">
      <c r="A334" s="62" t="s">
        <v>855</v>
      </c>
      <c r="B334" s="72" t="s">
        <v>514</v>
      </c>
      <c r="C334" s="72" t="s">
        <v>388</v>
      </c>
      <c r="D334" s="72" t="s">
        <v>386</v>
      </c>
      <c r="E334" s="72"/>
      <c r="F334" s="72"/>
      <c r="G334" s="72"/>
      <c r="H334" s="72"/>
      <c r="I334" s="72"/>
      <c r="J334" s="72"/>
      <c r="K334" s="72"/>
      <c r="L334" s="72" t="s">
        <v>719</v>
      </c>
      <c r="M334" s="72" t="s">
        <v>680</v>
      </c>
      <c r="N334" s="133">
        <v>2186.23</v>
      </c>
      <c r="O334" s="371">
        <v>2186.23</v>
      </c>
      <c r="P334" s="371"/>
      <c r="Q334" s="595">
        <f t="shared" si="5"/>
        <v>0</v>
      </c>
    </row>
    <row r="335" spans="1:17" ht="16.5" hidden="1">
      <c r="A335" s="62" t="s">
        <v>856</v>
      </c>
      <c r="B335" s="72" t="s">
        <v>514</v>
      </c>
      <c r="C335" s="72" t="s">
        <v>388</v>
      </c>
      <c r="D335" s="72" t="s">
        <v>386</v>
      </c>
      <c r="E335" s="72"/>
      <c r="F335" s="72"/>
      <c r="G335" s="72"/>
      <c r="H335" s="72"/>
      <c r="I335" s="72"/>
      <c r="J335" s="72"/>
      <c r="K335" s="72"/>
      <c r="L335" s="72" t="s">
        <v>369</v>
      </c>
      <c r="M335" s="72"/>
      <c r="N335" s="133">
        <v>0</v>
      </c>
      <c r="O335" s="371">
        <v>0</v>
      </c>
      <c r="P335" s="371"/>
      <c r="Q335" s="595" t="e">
        <f t="shared" si="5"/>
        <v>#DIV/0!</v>
      </c>
    </row>
    <row r="336" spans="1:17" ht="16.5" hidden="1">
      <c r="A336" s="62" t="s">
        <v>787</v>
      </c>
      <c r="B336" s="72" t="s">
        <v>514</v>
      </c>
      <c r="C336" s="72" t="s">
        <v>388</v>
      </c>
      <c r="D336" s="72" t="s">
        <v>386</v>
      </c>
      <c r="E336" s="72"/>
      <c r="F336" s="72"/>
      <c r="G336" s="72"/>
      <c r="H336" s="72"/>
      <c r="I336" s="72"/>
      <c r="J336" s="72"/>
      <c r="K336" s="72"/>
      <c r="L336" s="72" t="s">
        <v>719</v>
      </c>
      <c r="M336" s="72" t="s">
        <v>648</v>
      </c>
      <c r="N336" s="133"/>
      <c r="O336" s="371"/>
      <c r="P336" s="371"/>
      <c r="Q336" s="595" t="e">
        <f t="shared" si="5"/>
        <v>#DIV/0!</v>
      </c>
    </row>
    <row r="337" spans="1:17" ht="16.5" hidden="1">
      <c r="A337" s="62" t="s">
        <v>857</v>
      </c>
      <c r="B337" s="72" t="s">
        <v>514</v>
      </c>
      <c r="C337" s="72" t="s">
        <v>388</v>
      </c>
      <c r="D337" s="72" t="s">
        <v>386</v>
      </c>
      <c r="E337" s="72"/>
      <c r="F337" s="72"/>
      <c r="G337" s="72"/>
      <c r="H337" s="72"/>
      <c r="I337" s="72"/>
      <c r="J337" s="72"/>
      <c r="K337" s="72"/>
      <c r="L337" s="72" t="s">
        <v>369</v>
      </c>
      <c r="M337" s="72"/>
      <c r="N337" s="133">
        <v>0</v>
      </c>
      <c r="O337" s="371">
        <v>0</v>
      </c>
      <c r="P337" s="371"/>
      <c r="Q337" s="595" t="e">
        <f t="shared" si="5"/>
        <v>#DIV/0!</v>
      </c>
    </row>
    <row r="338" spans="1:17" ht="16.5" hidden="1">
      <c r="A338" s="62" t="s">
        <v>787</v>
      </c>
      <c r="B338" s="72" t="s">
        <v>514</v>
      </c>
      <c r="C338" s="72" t="s">
        <v>388</v>
      </c>
      <c r="D338" s="72" t="s">
        <v>386</v>
      </c>
      <c r="E338" s="72"/>
      <c r="F338" s="72"/>
      <c r="G338" s="72"/>
      <c r="H338" s="72"/>
      <c r="I338" s="72"/>
      <c r="J338" s="72"/>
      <c r="K338" s="72"/>
      <c r="L338" s="72" t="s">
        <v>719</v>
      </c>
      <c r="M338" s="72" t="s">
        <v>648</v>
      </c>
      <c r="N338" s="133"/>
      <c r="O338" s="371"/>
      <c r="P338" s="371"/>
      <c r="Q338" s="595" t="e">
        <f t="shared" si="5"/>
        <v>#DIV/0!</v>
      </c>
    </row>
    <row r="339" spans="1:17" ht="16.5" hidden="1">
      <c r="A339" s="62" t="s">
        <v>509</v>
      </c>
      <c r="B339" s="72" t="s">
        <v>514</v>
      </c>
      <c r="C339" s="72" t="s">
        <v>388</v>
      </c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133">
        <v>293421.52502</v>
      </c>
      <c r="O339" s="371">
        <v>293421.52502</v>
      </c>
      <c r="P339" s="371"/>
      <c r="Q339" s="595">
        <f t="shared" si="5"/>
        <v>0</v>
      </c>
    </row>
    <row r="340" spans="1:17" ht="16.5" hidden="1">
      <c r="A340" s="62" t="s">
        <v>512</v>
      </c>
      <c r="B340" s="72" t="s">
        <v>514</v>
      </c>
      <c r="C340" s="72" t="s">
        <v>388</v>
      </c>
      <c r="D340" s="72" t="s">
        <v>382</v>
      </c>
      <c r="E340" s="72"/>
      <c r="F340" s="72"/>
      <c r="G340" s="72"/>
      <c r="H340" s="72"/>
      <c r="I340" s="72"/>
      <c r="J340" s="72"/>
      <c r="K340" s="72"/>
      <c r="L340" s="72"/>
      <c r="M340" s="72"/>
      <c r="N340" s="133">
        <v>293421.52502</v>
      </c>
      <c r="O340" s="371">
        <v>293421.52502</v>
      </c>
      <c r="P340" s="371"/>
      <c r="Q340" s="595">
        <f t="shared" si="5"/>
        <v>0</v>
      </c>
    </row>
    <row r="341" spans="1:17" ht="72.75" customHeight="1">
      <c r="A341" s="62" t="s">
        <v>952</v>
      </c>
      <c r="B341" s="72" t="s">
        <v>514</v>
      </c>
      <c r="C341" s="72" t="s">
        <v>388</v>
      </c>
      <c r="D341" s="72" t="s">
        <v>386</v>
      </c>
      <c r="E341" s="72" t="s">
        <v>552</v>
      </c>
      <c r="F341" s="72" t="s">
        <v>552</v>
      </c>
      <c r="G341" s="72" t="s">
        <v>528</v>
      </c>
      <c r="H341" s="72" t="s">
        <v>552</v>
      </c>
      <c r="I341" s="72" t="s">
        <v>770</v>
      </c>
      <c r="J341" s="72" t="s">
        <v>770</v>
      </c>
      <c r="K341" s="72" t="s">
        <v>528</v>
      </c>
      <c r="L341" s="72" t="s">
        <v>434</v>
      </c>
      <c r="M341" s="72"/>
      <c r="N341" s="133">
        <v>0</v>
      </c>
      <c r="O341" s="371">
        <v>180</v>
      </c>
      <c r="P341" s="371">
        <v>180</v>
      </c>
      <c r="Q341" s="595">
        <f t="shared" si="5"/>
        <v>1</v>
      </c>
    </row>
    <row r="342" spans="1:19" ht="47.25" customHeight="1">
      <c r="A342" s="62" t="s">
        <v>858</v>
      </c>
      <c r="B342" s="72" t="s">
        <v>514</v>
      </c>
      <c r="C342" s="72" t="s">
        <v>388</v>
      </c>
      <c r="D342" s="72" t="s">
        <v>382</v>
      </c>
      <c r="E342" s="72" t="s">
        <v>770</v>
      </c>
      <c r="F342" s="72" t="s">
        <v>528</v>
      </c>
      <c r="G342" s="72"/>
      <c r="H342" s="72"/>
      <c r="I342" s="72"/>
      <c r="J342" s="72"/>
      <c r="K342" s="72"/>
      <c r="L342" s="72" t="s">
        <v>369</v>
      </c>
      <c r="M342" s="72"/>
      <c r="N342" s="372">
        <f>N357+N364+N370+N373+N376</f>
        <v>315826.73000000004</v>
      </c>
      <c r="O342" s="372">
        <f>O357+O364+O370+O373+O376+O380+O381+O358+O359+O360+O361+O362+O363</f>
        <v>304727.21</v>
      </c>
      <c r="P342" s="372">
        <f>P357+P364+P370+P373+P376+P380+P381+P358+P359+P360+P361+P362+P363</f>
        <v>304727.12</v>
      </c>
      <c r="Q342" s="595">
        <f t="shared" si="5"/>
        <v>0.9999997046538771</v>
      </c>
      <c r="R342" s="80">
        <f>N357+N364+N370+N376+N380+N381+N450+N470+N486+N490+N504+N510+N516+N518+N520+N524+N530+N534+N548+N554+N560+N562+N564+N568+N576+N580+N594+N600+N606+N608+N610+N614+N621+N625+N639+N645+N651+N653+N655+N666+N670+N684+N690+N696+N698+N704+N710+N714+N728+N734+N740+N742+N744+N748+N755+N759+N773+N779+N785+N787+N789+N793+N801+N805+N819+N825+N831+N833+N835+N844+N848+N862+N868+N874+N876+N878+N882+N888+N892+N906+N912+N918+N920+N922+N933+N937+N951+N957+N963+N965+N967+N977+N981+N995+N1001+N1007+N1009+N1011+N1015+N1022+N1026+N1040+N1046+N1052+N1054+N1056+N1064+N1068+N1082+N1088+N1094+N1096+N1098+N1109+N1113+N1127+N1133+N1139+N1141+N1143+N1147+N1155+N1159+N1173+N1179+N1185+N1187+N1189+N1210+N205</f>
        <v>450241.34800000046</v>
      </c>
      <c r="S342" s="80">
        <f>O357+O364+O370+O376+O380+O381+O450+O470+O486+O490+O504+O510+O516+O518+O520+O524+O530+O534+O548+O554+O560+O562+O564+O568+O576+O580+O594+O600+O606+O608+O610+O614+O621+O625+O639+O645+O651+O653+O655+O666+O670+O684+O690+O696+O698+O704+O710+O714+O728+O734+O740+O742+O744+O748+O755+O759+O773+O779+O785+O787+O789+O793+O801+O805+O819+O825+O831+O833+O835+O844+O848+O862+O868+O874+O876+O878+O882+O888+O892+O906+O912+O918+O920+O922+O933+O937+O951+O957+O963+O965+O967+O977+O981+O995+O1001+O1007+O1009+O1011+O1015+O1022+O1026+O1040+O1046+O1052+O1054+O1056+O1064+O1068+O1082+O1088+O1094+O1096+O1098+O1109+O1113+O1127+O1133+O1139+O1141+O1143+O1147+O1155+O1159+O1173+O1179+O1185+O1187+O1189+O1210+O205</f>
        <v>427227.966</v>
      </c>
    </row>
    <row r="343" spans="1:17" ht="16.5" hidden="1">
      <c r="A343" s="62" t="s">
        <v>850</v>
      </c>
      <c r="B343" s="72" t="s">
        <v>514</v>
      </c>
      <c r="C343" s="72" t="s">
        <v>388</v>
      </c>
      <c r="D343" s="72" t="s">
        <v>382</v>
      </c>
      <c r="E343" s="72"/>
      <c r="F343" s="72"/>
      <c r="G343" s="72"/>
      <c r="H343" s="72"/>
      <c r="I343" s="72"/>
      <c r="J343" s="72"/>
      <c r="K343" s="72"/>
      <c r="L343" s="72" t="s">
        <v>719</v>
      </c>
      <c r="M343" s="72"/>
      <c r="N343" s="371">
        <v>9592.99</v>
      </c>
      <c r="O343" s="371">
        <v>9592.99</v>
      </c>
      <c r="P343" s="371"/>
      <c r="Q343" s="595">
        <f t="shared" si="5"/>
        <v>0</v>
      </c>
    </row>
    <row r="344" spans="1:17" ht="16.5" hidden="1">
      <c r="A344" s="62" t="s">
        <v>774</v>
      </c>
      <c r="B344" s="72" t="s">
        <v>514</v>
      </c>
      <c r="C344" s="72" t="s">
        <v>388</v>
      </c>
      <c r="D344" s="72" t="s">
        <v>382</v>
      </c>
      <c r="E344" s="72"/>
      <c r="F344" s="72"/>
      <c r="G344" s="72"/>
      <c r="H344" s="72"/>
      <c r="I344" s="72"/>
      <c r="J344" s="72"/>
      <c r="K344" s="72"/>
      <c r="L344" s="72" t="s">
        <v>719</v>
      </c>
      <c r="M344" s="72" t="s">
        <v>636</v>
      </c>
      <c r="N344" s="371">
        <v>7142.969999999999</v>
      </c>
      <c r="O344" s="371">
        <v>7142.969999999999</v>
      </c>
      <c r="P344" s="371"/>
      <c r="Q344" s="595">
        <f t="shared" si="5"/>
        <v>0</v>
      </c>
    </row>
    <row r="345" spans="1:17" ht="16.5" hidden="1">
      <c r="A345" s="62" t="s">
        <v>785</v>
      </c>
      <c r="B345" s="72" t="s">
        <v>514</v>
      </c>
      <c r="C345" s="72" t="s">
        <v>388</v>
      </c>
      <c r="D345" s="72" t="s">
        <v>382</v>
      </c>
      <c r="E345" s="72"/>
      <c r="F345" s="72"/>
      <c r="G345" s="72"/>
      <c r="H345" s="72"/>
      <c r="I345" s="72"/>
      <c r="J345" s="72"/>
      <c r="K345" s="72"/>
      <c r="L345" s="72" t="s">
        <v>719</v>
      </c>
      <c r="M345" s="72" t="s">
        <v>660</v>
      </c>
      <c r="N345" s="371">
        <v>301.70000000000005</v>
      </c>
      <c r="O345" s="371">
        <v>301.70000000000005</v>
      </c>
      <c r="P345" s="371"/>
      <c r="Q345" s="595">
        <f t="shared" si="5"/>
        <v>0</v>
      </c>
    </row>
    <row r="346" spans="1:17" ht="16.5" hidden="1">
      <c r="A346" s="62" t="s">
        <v>775</v>
      </c>
      <c r="B346" s="72" t="s">
        <v>514</v>
      </c>
      <c r="C346" s="72" t="s">
        <v>388</v>
      </c>
      <c r="D346" s="72" t="s">
        <v>382</v>
      </c>
      <c r="E346" s="72"/>
      <c r="F346" s="72"/>
      <c r="G346" s="72"/>
      <c r="H346" s="72"/>
      <c r="I346" s="72"/>
      <c r="J346" s="72"/>
      <c r="K346" s="72"/>
      <c r="L346" s="72" t="s">
        <v>719</v>
      </c>
      <c r="M346" s="72" t="s">
        <v>637</v>
      </c>
      <c r="N346" s="371">
        <v>2148.3199999999997</v>
      </c>
      <c r="O346" s="371">
        <v>2148.3199999999997</v>
      </c>
      <c r="P346" s="371"/>
      <c r="Q346" s="595">
        <f t="shared" si="5"/>
        <v>0</v>
      </c>
    </row>
    <row r="347" spans="1:17" ht="30" hidden="1">
      <c r="A347" s="62" t="s">
        <v>777</v>
      </c>
      <c r="B347" s="72" t="s">
        <v>514</v>
      </c>
      <c r="C347" s="72" t="s">
        <v>388</v>
      </c>
      <c r="D347" s="72" t="s">
        <v>382</v>
      </c>
      <c r="E347" s="72"/>
      <c r="F347" s="72"/>
      <c r="G347" s="72"/>
      <c r="H347" s="72"/>
      <c r="I347" s="72"/>
      <c r="J347" s="72"/>
      <c r="K347" s="72"/>
      <c r="L347" s="72" t="s">
        <v>719</v>
      </c>
      <c r="M347" s="72"/>
      <c r="N347" s="371">
        <v>27264.629999999997</v>
      </c>
      <c r="O347" s="371">
        <v>27264.629999999997</v>
      </c>
      <c r="P347" s="371"/>
      <c r="Q347" s="595">
        <f t="shared" si="5"/>
        <v>0</v>
      </c>
    </row>
    <row r="348" spans="1:17" ht="16.5" hidden="1">
      <c r="A348" s="62" t="s">
        <v>779</v>
      </c>
      <c r="B348" s="72" t="s">
        <v>514</v>
      </c>
      <c r="C348" s="72" t="s">
        <v>388</v>
      </c>
      <c r="D348" s="72" t="s">
        <v>382</v>
      </c>
      <c r="E348" s="72"/>
      <c r="F348" s="72"/>
      <c r="G348" s="72"/>
      <c r="H348" s="72"/>
      <c r="I348" s="72"/>
      <c r="J348" s="72"/>
      <c r="K348" s="72"/>
      <c r="L348" s="72" t="s">
        <v>719</v>
      </c>
      <c r="M348" s="72" t="s">
        <v>640</v>
      </c>
      <c r="N348" s="371">
        <v>342.82</v>
      </c>
      <c r="O348" s="371">
        <v>342.82</v>
      </c>
      <c r="P348" s="371"/>
      <c r="Q348" s="595">
        <f t="shared" si="5"/>
        <v>0</v>
      </c>
    </row>
    <row r="349" spans="1:17" ht="16.5" hidden="1">
      <c r="A349" s="62" t="s">
        <v>780</v>
      </c>
      <c r="B349" s="72" t="s">
        <v>514</v>
      </c>
      <c r="C349" s="72" t="s">
        <v>388</v>
      </c>
      <c r="D349" s="72" t="s">
        <v>382</v>
      </c>
      <c r="E349" s="72"/>
      <c r="F349" s="72"/>
      <c r="G349" s="72"/>
      <c r="H349" s="72"/>
      <c r="I349" s="72"/>
      <c r="J349" s="72"/>
      <c r="K349" s="72"/>
      <c r="L349" s="72" t="s">
        <v>719</v>
      </c>
      <c r="M349" s="72" t="s">
        <v>641</v>
      </c>
      <c r="N349" s="371">
        <v>64.3</v>
      </c>
      <c r="O349" s="371">
        <v>64.3</v>
      </c>
      <c r="P349" s="371"/>
      <c r="Q349" s="595">
        <f t="shared" si="5"/>
        <v>0</v>
      </c>
    </row>
    <row r="350" spans="1:17" ht="16.5" hidden="1">
      <c r="A350" s="62" t="s">
        <v>781</v>
      </c>
      <c r="B350" s="72" t="s">
        <v>514</v>
      </c>
      <c r="C350" s="72" t="s">
        <v>388</v>
      </c>
      <c r="D350" s="72" t="s">
        <v>382</v>
      </c>
      <c r="E350" s="72"/>
      <c r="F350" s="72"/>
      <c r="G350" s="72"/>
      <c r="H350" s="72"/>
      <c r="I350" s="72"/>
      <c r="J350" s="72"/>
      <c r="K350" s="72"/>
      <c r="L350" s="72" t="s">
        <v>719</v>
      </c>
      <c r="M350" s="72" t="s">
        <v>642</v>
      </c>
      <c r="N350" s="371">
        <v>15738.58</v>
      </c>
      <c r="O350" s="371">
        <v>15738.58</v>
      </c>
      <c r="P350" s="371"/>
      <c r="Q350" s="595">
        <f t="shared" si="5"/>
        <v>0</v>
      </c>
    </row>
    <row r="351" spans="1:17" ht="16.5" hidden="1">
      <c r="A351" s="62" t="s">
        <v>782</v>
      </c>
      <c r="B351" s="72" t="s">
        <v>514</v>
      </c>
      <c r="C351" s="72" t="s">
        <v>388</v>
      </c>
      <c r="D351" s="72" t="s">
        <v>382</v>
      </c>
      <c r="E351" s="72"/>
      <c r="F351" s="72"/>
      <c r="G351" s="72"/>
      <c r="H351" s="72"/>
      <c r="I351" s="72"/>
      <c r="J351" s="72"/>
      <c r="K351" s="72"/>
      <c r="L351" s="72" t="s">
        <v>719</v>
      </c>
      <c r="M351" s="72" t="s">
        <v>643</v>
      </c>
      <c r="N351" s="371">
        <v>0</v>
      </c>
      <c r="O351" s="371">
        <v>0</v>
      </c>
      <c r="P351" s="371"/>
      <c r="Q351" s="595" t="e">
        <f t="shared" si="5"/>
        <v>#DIV/0!</v>
      </c>
    </row>
    <row r="352" spans="1:17" ht="16.5" hidden="1">
      <c r="A352" s="62" t="s">
        <v>783</v>
      </c>
      <c r="B352" s="72" t="s">
        <v>514</v>
      </c>
      <c r="C352" s="72" t="s">
        <v>388</v>
      </c>
      <c r="D352" s="72" t="s">
        <v>382</v>
      </c>
      <c r="E352" s="72"/>
      <c r="F352" s="72"/>
      <c r="G352" s="72"/>
      <c r="H352" s="72"/>
      <c r="I352" s="72"/>
      <c r="J352" s="72"/>
      <c r="K352" s="72"/>
      <c r="L352" s="72" t="s">
        <v>719</v>
      </c>
      <c r="M352" s="72" t="s">
        <v>644</v>
      </c>
      <c r="N352" s="371">
        <v>2021.66</v>
      </c>
      <c r="O352" s="371">
        <v>2021.66</v>
      </c>
      <c r="P352" s="371"/>
      <c r="Q352" s="595">
        <f t="shared" si="5"/>
        <v>0</v>
      </c>
    </row>
    <row r="353" spans="1:17" ht="16.5" hidden="1">
      <c r="A353" s="62" t="s">
        <v>784</v>
      </c>
      <c r="B353" s="72" t="s">
        <v>514</v>
      </c>
      <c r="C353" s="72" t="s">
        <v>388</v>
      </c>
      <c r="D353" s="72" t="s">
        <v>382</v>
      </c>
      <c r="E353" s="72"/>
      <c r="F353" s="72"/>
      <c r="G353" s="72"/>
      <c r="H353" s="72"/>
      <c r="I353" s="72"/>
      <c r="J353" s="72"/>
      <c r="K353" s="72"/>
      <c r="L353" s="72" t="s">
        <v>719</v>
      </c>
      <c r="M353" s="72" t="s">
        <v>645</v>
      </c>
      <c r="N353" s="371">
        <v>3080.05</v>
      </c>
      <c r="O353" s="371">
        <v>3080.05</v>
      </c>
      <c r="P353" s="371"/>
      <c r="Q353" s="595">
        <f t="shared" si="5"/>
        <v>0</v>
      </c>
    </row>
    <row r="354" spans="1:17" ht="16.5" hidden="1">
      <c r="A354" s="62" t="s">
        <v>785</v>
      </c>
      <c r="B354" s="72" t="s">
        <v>514</v>
      </c>
      <c r="C354" s="72" t="s">
        <v>388</v>
      </c>
      <c r="D354" s="72" t="s">
        <v>382</v>
      </c>
      <c r="E354" s="72"/>
      <c r="F354" s="72"/>
      <c r="G354" s="72"/>
      <c r="H354" s="72"/>
      <c r="I354" s="72"/>
      <c r="J354" s="72"/>
      <c r="K354" s="72"/>
      <c r="L354" s="72" t="s">
        <v>719</v>
      </c>
      <c r="M354" s="72" t="s">
        <v>646</v>
      </c>
      <c r="N354" s="371">
        <v>411.69</v>
      </c>
      <c r="O354" s="371">
        <v>411.69</v>
      </c>
      <c r="P354" s="371"/>
      <c r="Q354" s="595">
        <f t="shared" si="5"/>
        <v>0</v>
      </c>
    </row>
    <row r="355" spans="1:17" ht="16.5" hidden="1">
      <c r="A355" s="62" t="s">
        <v>786</v>
      </c>
      <c r="B355" s="72" t="s">
        <v>514</v>
      </c>
      <c r="C355" s="72" t="s">
        <v>388</v>
      </c>
      <c r="D355" s="72" t="s">
        <v>382</v>
      </c>
      <c r="E355" s="72"/>
      <c r="F355" s="72"/>
      <c r="G355" s="72"/>
      <c r="H355" s="72"/>
      <c r="I355" s="72"/>
      <c r="J355" s="72"/>
      <c r="K355" s="72"/>
      <c r="L355" s="72" t="s">
        <v>719</v>
      </c>
      <c r="M355" s="72" t="s">
        <v>647</v>
      </c>
      <c r="N355" s="371">
        <v>227.5</v>
      </c>
      <c r="O355" s="371">
        <v>227.5</v>
      </c>
      <c r="P355" s="371"/>
      <c r="Q355" s="595">
        <f t="shared" si="5"/>
        <v>0</v>
      </c>
    </row>
    <row r="356" spans="1:17" ht="16.5" hidden="1">
      <c r="A356" s="62" t="s">
        <v>787</v>
      </c>
      <c r="B356" s="72" t="s">
        <v>514</v>
      </c>
      <c r="C356" s="72" t="s">
        <v>388</v>
      </c>
      <c r="D356" s="72" t="s">
        <v>382</v>
      </c>
      <c r="E356" s="72"/>
      <c r="F356" s="72"/>
      <c r="G356" s="72"/>
      <c r="H356" s="72"/>
      <c r="I356" s="72"/>
      <c r="J356" s="72"/>
      <c r="K356" s="72"/>
      <c r="L356" s="72" t="s">
        <v>719</v>
      </c>
      <c r="M356" s="72" t="s">
        <v>648</v>
      </c>
      <c r="N356" s="371">
        <v>5378.03</v>
      </c>
      <c r="O356" s="371">
        <v>5378.03</v>
      </c>
      <c r="P356" s="371"/>
      <c r="Q356" s="595">
        <f t="shared" si="5"/>
        <v>0</v>
      </c>
    </row>
    <row r="357" spans="1:17" ht="45">
      <c r="A357" s="62" t="s">
        <v>859</v>
      </c>
      <c r="B357" s="72" t="s">
        <v>514</v>
      </c>
      <c r="C357" s="72" t="s">
        <v>388</v>
      </c>
      <c r="D357" s="72" t="s">
        <v>382</v>
      </c>
      <c r="E357" s="72" t="s">
        <v>770</v>
      </c>
      <c r="F357" s="72" t="s">
        <v>528</v>
      </c>
      <c r="G357" s="72" t="s">
        <v>478</v>
      </c>
      <c r="H357" s="72" t="s">
        <v>770</v>
      </c>
      <c r="I357" s="72" t="s">
        <v>528</v>
      </c>
      <c r="J357" s="72" t="s">
        <v>770</v>
      </c>
      <c r="K357" s="72" t="s">
        <v>528</v>
      </c>
      <c r="L357" s="72" t="s">
        <v>434</v>
      </c>
      <c r="M357" s="72"/>
      <c r="N357" s="371">
        <v>51952.65</v>
      </c>
      <c r="O357" s="371">
        <v>39439.03</v>
      </c>
      <c r="P357" s="371">
        <v>39439.03</v>
      </c>
      <c r="Q357" s="595">
        <f t="shared" si="5"/>
        <v>1</v>
      </c>
    </row>
    <row r="358" spans="1:17" ht="16.5">
      <c r="A358" s="62"/>
      <c r="B358" s="72" t="s">
        <v>514</v>
      </c>
      <c r="C358" s="72" t="s">
        <v>388</v>
      </c>
      <c r="D358" s="72" t="s">
        <v>382</v>
      </c>
      <c r="E358" s="72" t="s">
        <v>770</v>
      </c>
      <c r="F358" s="72" t="s">
        <v>528</v>
      </c>
      <c r="G358" s="72" t="s">
        <v>478</v>
      </c>
      <c r="H358" s="72" t="s">
        <v>770</v>
      </c>
      <c r="I358" s="72" t="s">
        <v>528</v>
      </c>
      <c r="J358" s="72" t="s">
        <v>770</v>
      </c>
      <c r="K358" s="72" t="s">
        <v>478</v>
      </c>
      <c r="L358" s="72" t="s">
        <v>434</v>
      </c>
      <c r="M358" s="72"/>
      <c r="N358" s="371"/>
      <c r="O358" s="371">
        <v>20.72</v>
      </c>
      <c r="P358" s="371">
        <v>20.72</v>
      </c>
      <c r="Q358" s="595">
        <f t="shared" si="5"/>
        <v>1</v>
      </c>
    </row>
    <row r="359" spans="1:17" ht="16.5">
      <c r="A359" s="62"/>
      <c r="B359" s="72" t="s">
        <v>514</v>
      </c>
      <c r="C359" s="72" t="s">
        <v>388</v>
      </c>
      <c r="D359" s="72" t="s">
        <v>382</v>
      </c>
      <c r="E359" s="72" t="s">
        <v>770</v>
      </c>
      <c r="F359" s="72" t="s">
        <v>528</v>
      </c>
      <c r="G359" s="72" t="s">
        <v>478</v>
      </c>
      <c r="H359" s="72" t="s">
        <v>770</v>
      </c>
      <c r="I359" s="72" t="s">
        <v>528</v>
      </c>
      <c r="J359" s="72" t="s">
        <v>770</v>
      </c>
      <c r="K359" s="72" t="s">
        <v>479</v>
      </c>
      <c r="L359" s="72" t="s">
        <v>434</v>
      </c>
      <c r="M359" s="72"/>
      <c r="N359" s="371"/>
      <c r="O359" s="371">
        <v>8127.56</v>
      </c>
      <c r="P359" s="371">
        <v>8127.56</v>
      </c>
      <c r="Q359" s="595">
        <f t="shared" si="5"/>
        <v>1</v>
      </c>
    </row>
    <row r="360" spans="1:17" ht="16.5">
      <c r="A360" s="62"/>
      <c r="B360" s="72" t="s">
        <v>514</v>
      </c>
      <c r="C360" s="72" t="s">
        <v>388</v>
      </c>
      <c r="D360" s="72" t="s">
        <v>382</v>
      </c>
      <c r="E360" s="72" t="s">
        <v>770</v>
      </c>
      <c r="F360" s="72" t="s">
        <v>528</v>
      </c>
      <c r="G360" s="72" t="s">
        <v>478</v>
      </c>
      <c r="H360" s="72" t="s">
        <v>770</v>
      </c>
      <c r="I360" s="72" t="s">
        <v>528</v>
      </c>
      <c r="J360" s="72" t="s">
        <v>770</v>
      </c>
      <c r="K360" s="72" t="s">
        <v>470</v>
      </c>
      <c r="L360" s="72" t="s">
        <v>434</v>
      </c>
      <c r="M360" s="72"/>
      <c r="N360" s="371"/>
      <c r="O360" s="371">
        <v>1082.81</v>
      </c>
      <c r="P360" s="371">
        <v>1082.81</v>
      </c>
      <c r="Q360" s="595">
        <f t="shared" si="5"/>
        <v>1</v>
      </c>
    </row>
    <row r="361" spans="1:17" ht="16.5">
      <c r="A361" s="62"/>
      <c r="B361" s="72" t="s">
        <v>514</v>
      </c>
      <c r="C361" s="72" t="s">
        <v>388</v>
      </c>
      <c r="D361" s="72" t="s">
        <v>382</v>
      </c>
      <c r="E361" s="72" t="s">
        <v>770</v>
      </c>
      <c r="F361" s="72" t="s">
        <v>528</v>
      </c>
      <c r="G361" s="72" t="s">
        <v>479</v>
      </c>
      <c r="H361" s="72" t="s">
        <v>770</v>
      </c>
      <c r="I361" s="72" t="s">
        <v>528</v>
      </c>
      <c r="J361" s="72" t="s">
        <v>770</v>
      </c>
      <c r="K361" s="72" t="s">
        <v>479</v>
      </c>
      <c r="L361" s="72" t="s">
        <v>434</v>
      </c>
      <c r="M361" s="72"/>
      <c r="N361" s="371"/>
      <c r="O361" s="371">
        <v>7</v>
      </c>
      <c r="P361" s="371">
        <v>7</v>
      </c>
      <c r="Q361" s="595">
        <f t="shared" si="5"/>
        <v>1</v>
      </c>
    </row>
    <row r="362" spans="1:17" ht="16.5">
      <c r="A362" s="62"/>
      <c r="B362" s="72" t="s">
        <v>514</v>
      </c>
      <c r="C362" s="72" t="s">
        <v>388</v>
      </c>
      <c r="D362" s="72" t="s">
        <v>382</v>
      </c>
      <c r="E362" s="72" t="s">
        <v>770</v>
      </c>
      <c r="F362" s="72" t="s">
        <v>528</v>
      </c>
      <c r="G362" s="72" t="s">
        <v>546</v>
      </c>
      <c r="H362" s="72" t="s">
        <v>770</v>
      </c>
      <c r="I362" s="72" t="s">
        <v>528</v>
      </c>
      <c r="J362" s="72" t="s">
        <v>770</v>
      </c>
      <c r="K362" s="72" t="s">
        <v>546</v>
      </c>
      <c r="L362" s="72" t="s">
        <v>434</v>
      </c>
      <c r="M362" s="72"/>
      <c r="N362" s="371"/>
      <c r="O362" s="371">
        <v>199</v>
      </c>
      <c r="P362" s="371">
        <v>199</v>
      </c>
      <c r="Q362" s="595">
        <f t="shared" si="5"/>
        <v>1</v>
      </c>
    </row>
    <row r="363" spans="1:17" ht="16.5">
      <c r="A363" s="62"/>
      <c r="B363" s="72" t="s">
        <v>514</v>
      </c>
      <c r="C363" s="72" t="s">
        <v>388</v>
      </c>
      <c r="D363" s="72" t="s">
        <v>382</v>
      </c>
      <c r="E363" s="72" t="s">
        <v>528</v>
      </c>
      <c r="F363" s="72" t="s">
        <v>480</v>
      </c>
      <c r="G363" s="72" t="s">
        <v>770</v>
      </c>
      <c r="H363" s="72" t="s">
        <v>528</v>
      </c>
      <c r="I363" s="72" t="s">
        <v>480</v>
      </c>
      <c r="J363" s="72" t="s">
        <v>770</v>
      </c>
      <c r="K363" s="72" t="s">
        <v>770</v>
      </c>
      <c r="L363" s="72" t="s">
        <v>434</v>
      </c>
      <c r="M363" s="72"/>
      <c r="N363" s="371"/>
      <c r="O363" s="371">
        <v>30</v>
      </c>
      <c r="P363" s="371">
        <v>30</v>
      </c>
      <c r="Q363" s="595">
        <f t="shared" si="5"/>
        <v>1</v>
      </c>
    </row>
    <row r="364" spans="1:19" ht="34.5" customHeight="1">
      <c r="A364" s="62" t="s">
        <v>860</v>
      </c>
      <c r="B364" s="72" t="s">
        <v>514</v>
      </c>
      <c r="C364" s="72" t="s">
        <v>388</v>
      </c>
      <c r="D364" s="72" t="s">
        <v>382</v>
      </c>
      <c r="E364" s="72" t="s">
        <v>770</v>
      </c>
      <c r="F364" s="72" t="s">
        <v>478</v>
      </c>
      <c r="G364" s="72" t="s">
        <v>789</v>
      </c>
      <c r="H364" s="72" t="s">
        <v>481</v>
      </c>
      <c r="I364" s="72" t="s">
        <v>770</v>
      </c>
      <c r="J364" s="72" t="s">
        <v>528</v>
      </c>
      <c r="K364" s="72" t="s">
        <v>480</v>
      </c>
      <c r="L364" s="72" t="s">
        <v>434</v>
      </c>
      <c r="M364" s="72"/>
      <c r="N364" s="371">
        <v>252364.12</v>
      </c>
      <c r="O364" s="371">
        <v>237237.13</v>
      </c>
      <c r="P364" s="371">
        <v>237237.13</v>
      </c>
      <c r="Q364" s="595">
        <f t="shared" si="5"/>
        <v>1</v>
      </c>
      <c r="R364" s="80">
        <f aca="true" t="shared" si="6" ref="R364:R372">O364+O504+O548+O594+O639+O684+O728+O773+O819+O862+O906+O951+O995+O1040+O1082+O1127+O1173</f>
        <v>326824.76</v>
      </c>
      <c r="S364" s="80">
        <f>Q364+Q504+Q548+Q594+Q639+Q684+Q728+Q773+Q819+Q862+Q906+Q951+Q995+Q1040+Q1082+Q1127+Q1173</f>
        <v>16.592496622804894</v>
      </c>
    </row>
    <row r="365" spans="1:18" ht="16.5" hidden="1">
      <c r="A365" s="62" t="s">
        <v>774</v>
      </c>
      <c r="B365" s="72" t="s">
        <v>514</v>
      </c>
      <c r="C365" s="72" t="s">
        <v>388</v>
      </c>
      <c r="D365" s="72" t="s">
        <v>382</v>
      </c>
      <c r="E365" s="72"/>
      <c r="F365" s="72"/>
      <c r="G365" s="72"/>
      <c r="H365" s="72"/>
      <c r="I365" s="72"/>
      <c r="J365" s="72"/>
      <c r="K365" s="72"/>
      <c r="L365" s="72" t="s">
        <v>719</v>
      </c>
      <c r="M365" s="72" t="s">
        <v>636</v>
      </c>
      <c r="N365" s="371">
        <v>169763.13344</v>
      </c>
      <c r="O365" s="371">
        <v>169763.13344</v>
      </c>
      <c r="P365" s="371"/>
      <c r="Q365" s="595">
        <f t="shared" si="5"/>
        <v>0</v>
      </c>
      <c r="R365" s="80">
        <f t="shared" si="6"/>
        <v>232137.02344000002</v>
      </c>
    </row>
    <row r="366" spans="1:18" ht="16.5" hidden="1">
      <c r="A366" s="62" t="s">
        <v>775</v>
      </c>
      <c r="B366" s="72" t="s">
        <v>514</v>
      </c>
      <c r="C366" s="72" t="s">
        <v>388</v>
      </c>
      <c r="D366" s="72" t="s">
        <v>382</v>
      </c>
      <c r="E366" s="72"/>
      <c r="F366" s="72"/>
      <c r="G366" s="72"/>
      <c r="H366" s="72"/>
      <c r="I366" s="72"/>
      <c r="J366" s="72"/>
      <c r="K366" s="72"/>
      <c r="L366" s="72" t="s">
        <v>719</v>
      </c>
      <c r="M366" s="72" t="s">
        <v>637</v>
      </c>
      <c r="N366" s="371">
        <v>51268.46157999999</v>
      </c>
      <c r="O366" s="371">
        <v>51268.46157999999</v>
      </c>
      <c r="P366" s="371"/>
      <c r="Q366" s="595">
        <f t="shared" si="5"/>
        <v>0</v>
      </c>
      <c r="R366" s="80">
        <f t="shared" si="6"/>
        <v>70105.36157999998</v>
      </c>
    </row>
    <row r="367" spans="1:18" ht="16.5" hidden="1">
      <c r="A367" s="62" t="s">
        <v>784</v>
      </c>
      <c r="B367" s="72" t="s">
        <v>514</v>
      </c>
      <c r="C367" s="72" t="s">
        <v>388</v>
      </c>
      <c r="D367" s="72" t="s">
        <v>382</v>
      </c>
      <c r="E367" s="72"/>
      <c r="F367" s="72"/>
      <c r="G367" s="72"/>
      <c r="H367" s="72"/>
      <c r="I367" s="72"/>
      <c r="J367" s="72"/>
      <c r="K367" s="72"/>
      <c r="L367" s="72" t="s">
        <v>719</v>
      </c>
      <c r="M367" s="72" t="s">
        <v>645</v>
      </c>
      <c r="N367" s="371">
        <v>78</v>
      </c>
      <c r="O367" s="371">
        <v>78</v>
      </c>
      <c r="P367" s="371"/>
      <c r="Q367" s="595">
        <f t="shared" si="5"/>
        <v>0</v>
      </c>
      <c r="R367" s="80">
        <f t="shared" si="6"/>
        <v>96</v>
      </c>
    </row>
    <row r="368" spans="1:18" ht="16.5" hidden="1">
      <c r="A368" s="62" t="s">
        <v>786</v>
      </c>
      <c r="B368" s="72" t="s">
        <v>514</v>
      </c>
      <c r="C368" s="72" t="s">
        <v>388</v>
      </c>
      <c r="D368" s="72" t="s">
        <v>382</v>
      </c>
      <c r="E368" s="72"/>
      <c r="F368" s="72"/>
      <c r="G368" s="72"/>
      <c r="H368" s="72"/>
      <c r="I368" s="72"/>
      <c r="J368" s="72"/>
      <c r="K368" s="72"/>
      <c r="L368" s="72" t="s">
        <v>719</v>
      </c>
      <c r="M368" s="72" t="s">
        <v>647</v>
      </c>
      <c r="N368" s="371">
        <v>1234.73</v>
      </c>
      <c r="O368" s="371">
        <v>1234.73</v>
      </c>
      <c r="P368" s="371"/>
      <c r="Q368" s="595">
        <f t="shared" si="5"/>
        <v>0</v>
      </c>
      <c r="R368" s="80">
        <f t="shared" si="6"/>
        <v>1577.5200000000002</v>
      </c>
    </row>
    <row r="369" spans="1:18" ht="16.5" hidden="1">
      <c r="A369" s="62" t="s">
        <v>787</v>
      </c>
      <c r="B369" s="72" t="s">
        <v>514</v>
      </c>
      <c r="C369" s="72" t="s">
        <v>388</v>
      </c>
      <c r="D369" s="72" t="s">
        <v>382</v>
      </c>
      <c r="E369" s="72"/>
      <c r="F369" s="72"/>
      <c r="G369" s="72"/>
      <c r="H369" s="72"/>
      <c r="I369" s="72"/>
      <c r="J369" s="72"/>
      <c r="K369" s="72"/>
      <c r="L369" s="72" t="s">
        <v>719</v>
      </c>
      <c r="M369" s="72" t="s">
        <v>648</v>
      </c>
      <c r="N369" s="371">
        <v>945.75</v>
      </c>
      <c r="O369" s="371">
        <v>945.75</v>
      </c>
      <c r="P369" s="371"/>
      <c r="Q369" s="595">
        <f t="shared" si="5"/>
        <v>0</v>
      </c>
      <c r="R369" s="80">
        <f t="shared" si="6"/>
        <v>1310.4599999999998</v>
      </c>
    </row>
    <row r="370" spans="1:18" ht="16.5">
      <c r="A370" s="62" t="s">
        <v>861</v>
      </c>
      <c r="B370" s="72" t="s">
        <v>514</v>
      </c>
      <c r="C370" s="72" t="s">
        <v>388</v>
      </c>
      <c r="D370" s="72" t="s">
        <v>382</v>
      </c>
      <c r="E370" s="72" t="s">
        <v>770</v>
      </c>
      <c r="F370" s="72" t="s">
        <v>478</v>
      </c>
      <c r="G370" s="72" t="s">
        <v>789</v>
      </c>
      <c r="H370" s="72" t="s">
        <v>481</v>
      </c>
      <c r="I370" s="72" t="s">
        <v>770</v>
      </c>
      <c r="J370" s="72" t="s">
        <v>478</v>
      </c>
      <c r="K370" s="72" t="s">
        <v>478</v>
      </c>
      <c r="L370" s="72" t="s">
        <v>434</v>
      </c>
      <c r="M370" s="72"/>
      <c r="N370" s="371">
        <v>5276.21</v>
      </c>
      <c r="O370" s="371">
        <v>5552.32</v>
      </c>
      <c r="P370" s="371">
        <v>5552.32</v>
      </c>
      <c r="Q370" s="595">
        <f t="shared" si="5"/>
        <v>1</v>
      </c>
      <c r="R370" s="80">
        <f t="shared" si="6"/>
        <v>8135.399999999999</v>
      </c>
    </row>
    <row r="371" spans="1:18" ht="16.5" hidden="1">
      <c r="A371" s="62" t="s">
        <v>774</v>
      </c>
      <c r="B371" s="72" t="s">
        <v>514</v>
      </c>
      <c r="C371" s="72" t="s">
        <v>388</v>
      </c>
      <c r="D371" s="72" t="s">
        <v>382</v>
      </c>
      <c r="E371" s="72"/>
      <c r="F371" s="72"/>
      <c r="G371" s="72"/>
      <c r="H371" s="72"/>
      <c r="I371" s="72"/>
      <c r="J371" s="72"/>
      <c r="K371" s="72"/>
      <c r="L371" s="72" t="s">
        <v>719</v>
      </c>
      <c r="M371" s="72" t="s">
        <v>636</v>
      </c>
      <c r="N371" s="381">
        <v>18501.08</v>
      </c>
      <c r="O371" s="371">
        <v>18501.08</v>
      </c>
      <c r="P371" s="371"/>
      <c r="Q371" s="595">
        <f t="shared" si="5"/>
        <v>0</v>
      </c>
      <c r="R371" s="80">
        <f t="shared" si="6"/>
        <v>26775.98</v>
      </c>
    </row>
    <row r="372" spans="1:18" ht="16.5" hidden="1">
      <c r="A372" s="62" t="s">
        <v>775</v>
      </c>
      <c r="B372" s="72" t="s">
        <v>514</v>
      </c>
      <c r="C372" s="72" t="s">
        <v>388</v>
      </c>
      <c r="D372" s="72" t="s">
        <v>382</v>
      </c>
      <c r="E372" s="72"/>
      <c r="F372" s="72"/>
      <c r="G372" s="72"/>
      <c r="H372" s="72"/>
      <c r="I372" s="72"/>
      <c r="J372" s="72"/>
      <c r="K372" s="72"/>
      <c r="L372" s="72" t="s">
        <v>719</v>
      </c>
      <c r="M372" s="72" t="s">
        <v>637</v>
      </c>
      <c r="N372" s="381">
        <v>5586.019999999999</v>
      </c>
      <c r="O372" s="371">
        <v>5586.019999999999</v>
      </c>
      <c r="P372" s="371"/>
      <c r="Q372" s="595">
        <f t="shared" si="5"/>
        <v>0</v>
      </c>
      <c r="R372" s="80">
        <f t="shared" si="6"/>
        <v>8085.049999999999</v>
      </c>
    </row>
    <row r="373" spans="1:19" ht="39.75" customHeight="1">
      <c r="A373" s="62" t="s">
        <v>862</v>
      </c>
      <c r="B373" s="72" t="s">
        <v>514</v>
      </c>
      <c r="C373" s="72" t="s">
        <v>483</v>
      </c>
      <c r="D373" s="72" t="s">
        <v>387</v>
      </c>
      <c r="E373" s="72" t="s">
        <v>770</v>
      </c>
      <c r="F373" s="72" t="s">
        <v>478</v>
      </c>
      <c r="G373" s="72" t="s">
        <v>789</v>
      </c>
      <c r="H373" s="72" t="s">
        <v>481</v>
      </c>
      <c r="I373" s="72" t="s">
        <v>770</v>
      </c>
      <c r="J373" s="72" t="s">
        <v>478</v>
      </c>
      <c r="K373" s="72" t="s">
        <v>480</v>
      </c>
      <c r="L373" s="72" t="s">
        <v>434</v>
      </c>
      <c r="M373" s="72"/>
      <c r="N373" s="371">
        <v>3101.9</v>
      </c>
      <c r="O373" s="371">
        <v>7405.69</v>
      </c>
      <c r="P373" s="371">
        <v>7405.69</v>
      </c>
      <c r="Q373" s="595">
        <f t="shared" si="5"/>
        <v>1</v>
      </c>
      <c r="R373" s="80">
        <f>N373+N513+N557+N603+N648+N693+N737+N782+N828+N871+N915+N960+N1004+N1049+N1091+N1136+N1182</f>
        <v>4671.5</v>
      </c>
      <c r="S373" s="80">
        <f>O373+O513+O557+O603+O648+O693+O737+O782+O828+O871+O915+O960+O1004+O1049+O1091+O1136+O1182</f>
        <v>9413.900000000001</v>
      </c>
    </row>
    <row r="374" spans="1:18" ht="16.5" hidden="1">
      <c r="A374" s="62" t="s">
        <v>784</v>
      </c>
      <c r="B374" s="72" t="s">
        <v>514</v>
      </c>
      <c r="C374" s="72" t="s">
        <v>388</v>
      </c>
      <c r="D374" s="72" t="s">
        <v>382</v>
      </c>
      <c r="E374" s="72"/>
      <c r="F374" s="72"/>
      <c r="G374" s="72"/>
      <c r="H374" s="72"/>
      <c r="I374" s="72"/>
      <c r="J374" s="72"/>
      <c r="K374" s="72"/>
      <c r="L374" s="72" t="s">
        <v>719</v>
      </c>
      <c r="M374" s="72" t="s">
        <v>645</v>
      </c>
      <c r="N374" s="381">
        <v>54.57</v>
      </c>
      <c r="O374" s="371">
        <v>54.57</v>
      </c>
      <c r="P374" s="371"/>
      <c r="Q374" s="595">
        <f t="shared" si="5"/>
        <v>0</v>
      </c>
      <c r="R374" s="80">
        <f>O374+O514+O558+O604+O649+O694+O738+O783+O829+O872+O916+O961+O1005+O1050+O1092+O1137+O1183</f>
        <v>72.10000000000001</v>
      </c>
    </row>
    <row r="375" spans="1:18" ht="16.5" hidden="1">
      <c r="A375" s="62" t="s">
        <v>855</v>
      </c>
      <c r="B375" s="72" t="s">
        <v>514</v>
      </c>
      <c r="C375" s="72" t="s">
        <v>388</v>
      </c>
      <c r="D375" s="72" t="s">
        <v>382</v>
      </c>
      <c r="E375" s="72"/>
      <c r="F375" s="72"/>
      <c r="G375" s="72"/>
      <c r="H375" s="72"/>
      <c r="I375" s="72"/>
      <c r="J375" s="72"/>
      <c r="K375" s="72"/>
      <c r="L375" s="72" t="s">
        <v>719</v>
      </c>
      <c r="M375" s="72" t="s">
        <v>680</v>
      </c>
      <c r="N375" s="381">
        <v>3047.33</v>
      </c>
      <c r="O375" s="371">
        <v>3047.33</v>
      </c>
      <c r="P375" s="371"/>
      <c r="Q375" s="595">
        <f t="shared" si="5"/>
        <v>0</v>
      </c>
      <c r="R375" s="80">
        <f>O375+O515+O559+O605+O650+O695+O739+O784+O830+O873+O917+O962+O1006+O1051+O1093+O1138+O1184</f>
        <v>4599.399999999999</v>
      </c>
    </row>
    <row r="376" spans="1:18" ht="40.5" customHeight="1">
      <c r="A376" s="62" t="s">
        <v>863</v>
      </c>
      <c r="B376" s="72" t="s">
        <v>514</v>
      </c>
      <c r="C376" s="72" t="s">
        <v>388</v>
      </c>
      <c r="D376" s="72" t="s">
        <v>382</v>
      </c>
      <c r="E376" s="72" t="s">
        <v>770</v>
      </c>
      <c r="F376" s="72" t="s">
        <v>478</v>
      </c>
      <c r="G376" s="72" t="s">
        <v>789</v>
      </c>
      <c r="H376" s="72" t="s">
        <v>481</v>
      </c>
      <c r="I376" s="72" t="s">
        <v>770</v>
      </c>
      <c r="J376" s="72" t="s">
        <v>478</v>
      </c>
      <c r="K376" s="72" t="s">
        <v>481</v>
      </c>
      <c r="L376" s="72" t="s">
        <v>434</v>
      </c>
      <c r="M376" s="72"/>
      <c r="N376" s="371">
        <v>3131.85</v>
      </c>
      <c r="O376" s="371">
        <v>2712.25</v>
      </c>
      <c r="P376" s="371">
        <v>2712.25</v>
      </c>
      <c r="Q376" s="595">
        <f t="shared" si="5"/>
        <v>1</v>
      </c>
      <c r="R376" s="80"/>
    </row>
    <row r="377" spans="1:17" s="79" customFormat="1" ht="28.5" hidden="1">
      <c r="A377" s="378" t="s">
        <v>787</v>
      </c>
      <c r="B377" s="358" t="s">
        <v>514</v>
      </c>
      <c r="C377" s="358" t="s">
        <v>388</v>
      </c>
      <c r="D377" s="358" t="s">
        <v>382</v>
      </c>
      <c r="E377" s="358"/>
      <c r="F377" s="358"/>
      <c r="G377" s="358"/>
      <c r="H377" s="358"/>
      <c r="I377" s="358"/>
      <c r="J377" s="358"/>
      <c r="K377" s="358"/>
      <c r="L377" s="358" t="s">
        <v>719</v>
      </c>
      <c r="M377" s="358" t="s">
        <v>648</v>
      </c>
      <c r="N377" s="376">
        <v>3131.8500000000004</v>
      </c>
      <c r="O377" s="372">
        <v>3131.8500000000004</v>
      </c>
      <c r="P377" s="372"/>
      <c r="Q377" s="595">
        <f t="shared" si="5"/>
        <v>0</v>
      </c>
    </row>
    <row r="378" spans="1:17" s="79" customFormat="1" ht="16.5" hidden="1">
      <c r="A378" s="378"/>
      <c r="B378" s="358"/>
      <c r="C378" s="358"/>
      <c r="D378" s="358"/>
      <c r="E378" s="72"/>
      <c r="F378" s="72"/>
      <c r="G378" s="72"/>
      <c r="H378" s="72"/>
      <c r="I378" s="72"/>
      <c r="J378" s="72"/>
      <c r="K378" s="72"/>
      <c r="L378" s="358"/>
      <c r="M378" s="358"/>
      <c r="N378" s="376"/>
      <c r="O378" s="372"/>
      <c r="P378" s="372"/>
      <c r="Q378" s="595" t="e">
        <f t="shared" si="5"/>
        <v>#DIV/0!</v>
      </c>
    </row>
    <row r="379" spans="1:17" ht="16.5" hidden="1">
      <c r="A379" s="62" t="s">
        <v>787</v>
      </c>
      <c r="B379" s="72" t="s">
        <v>514</v>
      </c>
      <c r="C379" s="72" t="s">
        <v>388</v>
      </c>
      <c r="D379" s="72" t="s">
        <v>382</v>
      </c>
      <c r="E379" s="72"/>
      <c r="F379" s="72"/>
      <c r="G379" s="72"/>
      <c r="H379" s="72"/>
      <c r="I379" s="72"/>
      <c r="J379" s="72"/>
      <c r="K379" s="72"/>
      <c r="L379" s="72" t="s">
        <v>719</v>
      </c>
      <c r="M379" s="72" t="s">
        <v>648</v>
      </c>
      <c r="N379" s="133">
        <v>2952.98</v>
      </c>
      <c r="O379" s="371">
        <v>2952.98</v>
      </c>
      <c r="P379" s="371"/>
      <c r="Q379" s="595">
        <f t="shared" si="5"/>
        <v>0</v>
      </c>
    </row>
    <row r="380" spans="1:17" ht="48" customHeight="1">
      <c r="A380" s="62" t="s">
        <v>969</v>
      </c>
      <c r="B380" s="72" t="s">
        <v>514</v>
      </c>
      <c r="C380" s="72" t="s">
        <v>388</v>
      </c>
      <c r="D380" s="72" t="s">
        <v>382</v>
      </c>
      <c r="E380" s="72" t="s">
        <v>770</v>
      </c>
      <c r="F380" s="72" t="s">
        <v>478</v>
      </c>
      <c r="G380" s="72" t="s">
        <v>479</v>
      </c>
      <c r="H380" s="72" t="s">
        <v>470</v>
      </c>
      <c r="I380" s="72" t="s">
        <v>770</v>
      </c>
      <c r="J380" s="72" t="s">
        <v>552</v>
      </c>
      <c r="K380" s="72" t="s">
        <v>546</v>
      </c>
      <c r="L380" s="72" t="s">
        <v>434</v>
      </c>
      <c r="M380" s="72"/>
      <c r="N380" s="133">
        <v>0</v>
      </c>
      <c r="O380" s="371">
        <v>2403.7</v>
      </c>
      <c r="P380" s="371">
        <v>2403.7</v>
      </c>
      <c r="Q380" s="595">
        <f t="shared" si="5"/>
        <v>1</v>
      </c>
    </row>
    <row r="381" spans="1:19" ht="48" customHeight="1">
      <c r="A381" s="62" t="s">
        <v>952</v>
      </c>
      <c r="B381" s="72" t="s">
        <v>514</v>
      </c>
      <c r="C381" s="72" t="s">
        <v>388</v>
      </c>
      <c r="D381" s="72" t="s">
        <v>382</v>
      </c>
      <c r="E381" s="72" t="s">
        <v>552</v>
      </c>
      <c r="F381" s="72" t="s">
        <v>552</v>
      </c>
      <c r="G381" s="72" t="s">
        <v>528</v>
      </c>
      <c r="H381" s="72" t="s">
        <v>552</v>
      </c>
      <c r="I381" s="72" t="s">
        <v>770</v>
      </c>
      <c r="J381" s="72" t="s">
        <v>770</v>
      </c>
      <c r="K381" s="72" t="s">
        <v>528</v>
      </c>
      <c r="L381" s="72" t="s">
        <v>434</v>
      </c>
      <c r="M381" s="72"/>
      <c r="N381" s="133">
        <v>0</v>
      </c>
      <c r="O381" s="371">
        <v>510</v>
      </c>
      <c r="P381" s="371">
        <v>509.91</v>
      </c>
      <c r="Q381" s="595">
        <f t="shared" si="5"/>
        <v>0.9998235294117648</v>
      </c>
      <c r="R381" s="81">
        <f>N299</f>
        <v>12678.92</v>
      </c>
      <c r="S381" s="81">
        <f>O299</f>
        <v>11760.46</v>
      </c>
    </row>
    <row r="382" spans="1:19" ht="48" customHeight="1" hidden="1">
      <c r="A382" s="62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133"/>
      <c r="O382" s="371"/>
      <c r="P382" s="371"/>
      <c r="Q382" s="595" t="e">
        <f t="shared" si="5"/>
        <v>#DIV/0!</v>
      </c>
      <c r="R382" s="81"/>
      <c r="S382" s="81"/>
    </row>
    <row r="383" spans="1:19" ht="48" customHeight="1" hidden="1">
      <c r="A383" s="62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133"/>
      <c r="O383" s="371"/>
      <c r="P383" s="371"/>
      <c r="Q383" s="595" t="e">
        <f t="shared" si="5"/>
        <v>#DIV/0!</v>
      </c>
      <c r="R383" s="81"/>
      <c r="S383" s="81"/>
    </row>
    <row r="384" spans="1:17" ht="30">
      <c r="A384" s="62" t="s">
        <v>864</v>
      </c>
      <c r="B384" s="72" t="s">
        <v>514</v>
      </c>
      <c r="C384" s="72" t="s">
        <v>388</v>
      </c>
      <c r="D384" s="72" t="s">
        <v>388</v>
      </c>
      <c r="E384" s="72" t="s">
        <v>770</v>
      </c>
      <c r="F384" s="72" t="s">
        <v>528</v>
      </c>
      <c r="G384" s="72" t="s">
        <v>479</v>
      </c>
      <c r="H384" s="72" t="s">
        <v>770</v>
      </c>
      <c r="I384" s="72" t="s">
        <v>528</v>
      </c>
      <c r="J384" s="72" t="s">
        <v>770</v>
      </c>
      <c r="K384" s="72" t="s">
        <v>478</v>
      </c>
      <c r="L384" s="72" t="s">
        <v>369</v>
      </c>
      <c r="M384" s="72"/>
      <c r="N384" s="133">
        <f>N385</f>
        <v>2900</v>
      </c>
      <c r="O384" s="371">
        <f>O385</f>
        <v>1526.92</v>
      </c>
      <c r="P384" s="371">
        <f>P385</f>
        <v>1526.92</v>
      </c>
      <c r="Q384" s="595">
        <f t="shared" si="5"/>
        <v>1</v>
      </c>
    </row>
    <row r="385" spans="1:17" ht="45">
      <c r="A385" s="62" t="s">
        <v>865</v>
      </c>
      <c r="B385" s="72" t="s">
        <v>514</v>
      </c>
      <c r="C385" s="72" t="s">
        <v>388</v>
      </c>
      <c r="D385" s="72" t="s">
        <v>388</v>
      </c>
      <c r="E385" s="72" t="s">
        <v>770</v>
      </c>
      <c r="F385" s="72" t="s">
        <v>528</v>
      </c>
      <c r="G385" s="72" t="s">
        <v>479</v>
      </c>
      <c r="H385" s="72" t="s">
        <v>770</v>
      </c>
      <c r="I385" s="72" t="s">
        <v>528</v>
      </c>
      <c r="J385" s="72" t="s">
        <v>770</v>
      </c>
      <c r="K385" s="72" t="s">
        <v>479</v>
      </c>
      <c r="L385" s="72" t="s">
        <v>434</v>
      </c>
      <c r="M385" s="72"/>
      <c r="N385" s="133">
        <f>2000+500+400</f>
        <v>2900</v>
      </c>
      <c r="O385" s="371">
        <v>1526.92</v>
      </c>
      <c r="P385" s="371">
        <v>1526.92</v>
      </c>
      <c r="Q385" s="595">
        <f t="shared" si="5"/>
        <v>1</v>
      </c>
    </row>
    <row r="386" spans="1:17" ht="67.5" customHeight="1">
      <c r="A386" s="51" t="s">
        <v>866</v>
      </c>
      <c r="B386" s="73" t="s">
        <v>514</v>
      </c>
      <c r="C386" s="73" t="s">
        <v>388</v>
      </c>
      <c r="D386" s="73" t="s">
        <v>385</v>
      </c>
      <c r="E386" s="73" t="s">
        <v>770</v>
      </c>
      <c r="F386" s="73" t="s">
        <v>528</v>
      </c>
      <c r="G386" s="73" t="s">
        <v>546</v>
      </c>
      <c r="H386" s="73" t="s">
        <v>770</v>
      </c>
      <c r="I386" s="73" t="s">
        <v>528</v>
      </c>
      <c r="J386" s="73" t="s">
        <v>770</v>
      </c>
      <c r="K386" s="73" t="s">
        <v>546</v>
      </c>
      <c r="L386" s="73" t="s">
        <v>434</v>
      </c>
      <c r="M386" s="73"/>
      <c r="N386" s="371">
        <f>N387</f>
        <v>18829.735</v>
      </c>
      <c r="O386" s="371">
        <f>O387+O388+O389</f>
        <v>15934</v>
      </c>
      <c r="P386" s="371">
        <f>P387+P388+P389</f>
        <v>8670.37</v>
      </c>
      <c r="Q386" s="595">
        <f t="shared" si="5"/>
        <v>0.5441427136939877</v>
      </c>
    </row>
    <row r="387" spans="1:17" ht="65.25" customHeight="1">
      <c r="A387" s="51" t="s">
        <v>865</v>
      </c>
      <c r="B387" s="73" t="s">
        <v>514</v>
      </c>
      <c r="C387" s="73" t="s">
        <v>388</v>
      </c>
      <c r="D387" s="73" t="s">
        <v>385</v>
      </c>
      <c r="E387" s="73" t="s">
        <v>770</v>
      </c>
      <c r="F387" s="73" t="s">
        <v>528</v>
      </c>
      <c r="G387" s="73" t="s">
        <v>546</v>
      </c>
      <c r="H387" s="73" t="s">
        <v>770</v>
      </c>
      <c r="I387" s="73" t="s">
        <v>528</v>
      </c>
      <c r="J387" s="73" t="s">
        <v>770</v>
      </c>
      <c r="K387" s="73" t="s">
        <v>546</v>
      </c>
      <c r="L387" s="73" t="s">
        <v>434</v>
      </c>
      <c r="M387" s="73"/>
      <c r="N387" s="371">
        <f>19279.735-450</f>
        <v>18829.735</v>
      </c>
      <c r="O387" s="371">
        <v>15845.5</v>
      </c>
      <c r="P387" s="371">
        <v>8581.87</v>
      </c>
      <c r="Q387" s="595">
        <f t="shared" si="5"/>
        <v>0.5415966678236724</v>
      </c>
    </row>
    <row r="388" spans="1:17" ht="14.25" customHeight="1">
      <c r="A388" s="51"/>
      <c r="B388" s="73" t="s">
        <v>514</v>
      </c>
      <c r="C388" s="73" t="s">
        <v>388</v>
      </c>
      <c r="D388" s="73" t="s">
        <v>385</v>
      </c>
      <c r="E388" s="73" t="s">
        <v>770</v>
      </c>
      <c r="F388" s="73" t="s">
        <v>528</v>
      </c>
      <c r="G388" s="73" t="s">
        <v>478</v>
      </c>
      <c r="H388" s="73" t="s">
        <v>770</v>
      </c>
      <c r="I388" s="73" t="s">
        <v>528</v>
      </c>
      <c r="J388" s="73" t="s">
        <v>770</v>
      </c>
      <c r="K388" s="73" t="s">
        <v>478</v>
      </c>
      <c r="L388" s="73" t="s">
        <v>434</v>
      </c>
      <c r="M388" s="73"/>
      <c r="N388" s="371"/>
      <c r="O388" s="371">
        <v>5</v>
      </c>
      <c r="P388" s="371">
        <v>5</v>
      </c>
      <c r="Q388" s="595">
        <f t="shared" si="5"/>
        <v>1</v>
      </c>
    </row>
    <row r="389" spans="1:17" ht="15" customHeight="1">
      <c r="A389" s="51"/>
      <c r="B389" s="73" t="s">
        <v>514</v>
      </c>
      <c r="C389" s="73" t="s">
        <v>388</v>
      </c>
      <c r="D389" s="73" t="s">
        <v>385</v>
      </c>
      <c r="E389" s="73" t="s">
        <v>770</v>
      </c>
      <c r="F389" s="73" t="s">
        <v>528</v>
      </c>
      <c r="G389" s="73" t="s">
        <v>479</v>
      </c>
      <c r="H389" s="73" t="s">
        <v>770</v>
      </c>
      <c r="I389" s="73" t="s">
        <v>528</v>
      </c>
      <c r="J389" s="73" t="s">
        <v>770</v>
      </c>
      <c r="K389" s="73" t="s">
        <v>479</v>
      </c>
      <c r="L389" s="73" t="s">
        <v>434</v>
      </c>
      <c r="M389" s="73"/>
      <c r="N389" s="371"/>
      <c r="O389" s="371">
        <v>83.5</v>
      </c>
      <c r="P389" s="371">
        <v>83.5</v>
      </c>
      <c r="Q389" s="595">
        <f t="shared" si="5"/>
        <v>1</v>
      </c>
    </row>
    <row r="390" spans="1:17" ht="65.25" customHeight="1">
      <c r="A390" s="51" t="s">
        <v>952</v>
      </c>
      <c r="B390" s="73" t="s">
        <v>514</v>
      </c>
      <c r="C390" s="73" t="s">
        <v>253</v>
      </c>
      <c r="D390" s="73" t="s">
        <v>386</v>
      </c>
      <c r="E390" s="73" t="s">
        <v>552</v>
      </c>
      <c r="F390" s="73" t="s">
        <v>552</v>
      </c>
      <c r="G390" s="73" t="s">
        <v>528</v>
      </c>
      <c r="H390" s="73" t="s">
        <v>552</v>
      </c>
      <c r="I390" s="73" t="s">
        <v>770</v>
      </c>
      <c r="J390" s="73" t="s">
        <v>770</v>
      </c>
      <c r="K390" s="73" t="s">
        <v>528</v>
      </c>
      <c r="L390" s="73" t="s">
        <v>482</v>
      </c>
      <c r="M390" s="73"/>
      <c r="N390" s="371">
        <v>0</v>
      </c>
      <c r="O390" s="371">
        <v>395</v>
      </c>
      <c r="P390" s="371">
        <v>395</v>
      </c>
      <c r="Q390" s="595">
        <f t="shared" si="5"/>
        <v>1</v>
      </c>
    </row>
    <row r="391" spans="1:17" ht="65.25" customHeight="1">
      <c r="A391" s="51" t="s">
        <v>952</v>
      </c>
      <c r="B391" s="73" t="s">
        <v>514</v>
      </c>
      <c r="C391" s="73" t="s">
        <v>390</v>
      </c>
      <c r="D391" s="73" t="s">
        <v>391</v>
      </c>
      <c r="E391" s="73" t="s">
        <v>552</v>
      </c>
      <c r="F391" s="73" t="s">
        <v>552</v>
      </c>
      <c r="G391" s="73" t="s">
        <v>528</v>
      </c>
      <c r="H391" s="73" t="s">
        <v>552</v>
      </c>
      <c r="I391" s="73" t="s">
        <v>770</v>
      </c>
      <c r="J391" s="73" t="s">
        <v>770</v>
      </c>
      <c r="K391" s="73" t="s">
        <v>528</v>
      </c>
      <c r="L391" s="73" t="s">
        <v>482</v>
      </c>
      <c r="M391" s="73"/>
      <c r="N391" s="371">
        <v>0</v>
      </c>
      <c r="O391" s="371">
        <v>1680</v>
      </c>
      <c r="P391" s="371">
        <v>1658.65</v>
      </c>
      <c r="Q391" s="595">
        <f t="shared" si="5"/>
        <v>0.9872916666666667</v>
      </c>
    </row>
    <row r="392" spans="1:18" s="385" customFormat="1" ht="56.25">
      <c r="A392" s="382" t="s">
        <v>539</v>
      </c>
      <c r="B392" s="383" t="s">
        <v>177</v>
      </c>
      <c r="C392" s="383"/>
      <c r="D392" s="383"/>
      <c r="E392" s="383"/>
      <c r="F392" s="383"/>
      <c r="G392" s="383"/>
      <c r="H392" s="383"/>
      <c r="I392" s="383"/>
      <c r="J392" s="383"/>
      <c r="K392" s="383"/>
      <c r="L392" s="383"/>
      <c r="M392" s="383"/>
      <c r="N392" s="384">
        <f>N393</f>
        <v>20628.88</v>
      </c>
      <c r="O392" s="384">
        <f>O393</f>
        <v>43408.04000000001</v>
      </c>
      <c r="P392" s="384">
        <f>P393</f>
        <v>33553.35</v>
      </c>
      <c r="Q392" s="595">
        <f t="shared" si="5"/>
        <v>0.7729754672175936</v>
      </c>
      <c r="R392" s="386">
        <f>O395+O399+O403+O405+O407+O416</f>
        <v>43378.14000000001</v>
      </c>
    </row>
    <row r="393" spans="1:17" s="370" customFormat="1" ht="32.25" customHeight="1">
      <c r="A393" s="352" t="s">
        <v>867</v>
      </c>
      <c r="B393" s="64" t="s">
        <v>177</v>
      </c>
      <c r="C393" s="64" t="s">
        <v>387</v>
      </c>
      <c r="D393" s="64" t="s">
        <v>390</v>
      </c>
      <c r="E393" s="353" t="s">
        <v>770</v>
      </c>
      <c r="F393" s="353" t="s">
        <v>481</v>
      </c>
      <c r="G393" s="353"/>
      <c r="H393" s="353"/>
      <c r="I393" s="353"/>
      <c r="J393" s="353"/>
      <c r="K393" s="353"/>
      <c r="L393" s="387"/>
      <c r="M393" s="387"/>
      <c r="N393" s="359">
        <f>N394+N404+N406+N416</f>
        <v>20628.88</v>
      </c>
      <c r="O393" s="359">
        <f>O394+O404+O406+O416+O398</f>
        <v>43408.04000000001</v>
      </c>
      <c r="P393" s="359">
        <f>P394+P404+P406+P416+P398</f>
        <v>33553.35</v>
      </c>
      <c r="Q393" s="595">
        <f t="shared" si="5"/>
        <v>0.7729754672175936</v>
      </c>
    </row>
    <row r="394" spans="1:17" s="370" customFormat="1" ht="32.25" customHeight="1">
      <c r="A394" s="51" t="s">
        <v>868</v>
      </c>
      <c r="B394" s="64" t="s">
        <v>177</v>
      </c>
      <c r="C394" s="64" t="s">
        <v>387</v>
      </c>
      <c r="D394" s="64" t="s">
        <v>390</v>
      </c>
      <c r="E394" s="353" t="s">
        <v>770</v>
      </c>
      <c r="F394" s="353" t="s">
        <v>481</v>
      </c>
      <c r="G394" s="353" t="s">
        <v>478</v>
      </c>
      <c r="H394" s="353" t="s">
        <v>770</v>
      </c>
      <c r="I394" s="353" t="s">
        <v>481</v>
      </c>
      <c r="J394" s="353" t="s">
        <v>770</v>
      </c>
      <c r="K394" s="353" t="s">
        <v>528</v>
      </c>
      <c r="L394" s="387"/>
      <c r="M394" s="387"/>
      <c r="N394" s="359">
        <f>N395+N399+N403</f>
        <v>3496.84</v>
      </c>
      <c r="O394" s="359">
        <f>O395+O399+O403</f>
        <v>3682.5</v>
      </c>
      <c r="P394" s="359">
        <f>P395+P399+P403</f>
        <v>3682.5</v>
      </c>
      <c r="Q394" s="595">
        <f t="shared" si="5"/>
        <v>1</v>
      </c>
    </row>
    <row r="395" spans="1:17" ht="86.25" customHeight="1">
      <c r="A395" s="51" t="s">
        <v>800</v>
      </c>
      <c r="B395" s="64" t="s">
        <v>177</v>
      </c>
      <c r="C395" s="64" t="s">
        <v>387</v>
      </c>
      <c r="D395" s="64" t="s">
        <v>390</v>
      </c>
      <c r="E395" s="48" t="s">
        <v>770</v>
      </c>
      <c r="F395" s="48" t="s">
        <v>481</v>
      </c>
      <c r="G395" s="48" t="s">
        <v>478</v>
      </c>
      <c r="H395" s="48" t="s">
        <v>770</v>
      </c>
      <c r="I395" s="48" t="s">
        <v>481</v>
      </c>
      <c r="J395" s="48" t="s">
        <v>770</v>
      </c>
      <c r="K395" s="48" t="s">
        <v>478</v>
      </c>
      <c r="L395" s="64" t="s">
        <v>773</v>
      </c>
      <c r="M395" s="64"/>
      <c r="N395" s="133">
        <f>N396+N397+21</f>
        <v>228.78</v>
      </c>
      <c r="O395" s="371">
        <f>287.61+3</f>
        <v>290.61</v>
      </c>
      <c r="P395" s="371">
        <f>287.61+3</f>
        <v>290.61</v>
      </c>
      <c r="Q395" s="595">
        <f t="shared" si="5"/>
        <v>1</v>
      </c>
    </row>
    <row r="396" spans="1:17" ht="27.75" customHeight="1" hidden="1">
      <c r="A396" s="51" t="s">
        <v>774</v>
      </c>
      <c r="B396" s="64" t="s">
        <v>177</v>
      </c>
      <c r="C396" s="64" t="s">
        <v>387</v>
      </c>
      <c r="D396" s="64" t="s">
        <v>390</v>
      </c>
      <c r="E396" s="48"/>
      <c r="F396" s="48"/>
      <c r="G396" s="48"/>
      <c r="H396" s="48"/>
      <c r="I396" s="48"/>
      <c r="J396" s="48"/>
      <c r="K396" s="48"/>
      <c r="L396" s="64" t="s">
        <v>635</v>
      </c>
      <c r="M396" s="64" t="s">
        <v>636</v>
      </c>
      <c r="N396" s="133">
        <v>159.59</v>
      </c>
      <c r="O396" s="371">
        <v>159.59</v>
      </c>
      <c r="P396" s="371"/>
      <c r="Q396" s="595">
        <f aca="true" t="shared" si="7" ref="Q396:Q459">P396/O396</f>
        <v>0</v>
      </c>
    </row>
    <row r="397" spans="1:17" ht="24.75" customHeight="1" hidden="1">
      <c r="A397" s="51" t="s">
        <v>775</v>
      </c>
      <c r="B397" s="64" t="s">
        <v>177</v>
      </c>
      <c r="C397" s="64" t="s">
        <v>387</v>
      </c>
      <c r="D397" s="64" t="s">
        <v>390</v>
      </c>
      <c r="E397" s="48"/>
      <c r="F397" s="48"/>
      <c r="G397" s="48"/>
      <c r="H397" s="48"/>
      <c r="I397" s="48"/>
      <c r="J397" s="48"/>
      <c r="K397" s="48"/>
      <c r="L397" s="64" t="s">
        <v>635</v>
      </c>
      <c r="M397" s="64" t="s">
        <v>637</v>
      </c>
      <c r="N397" s="133">
        <v>48.19</v>
      </c>
      <c r="O397" s="371">
        <v>48.19</v>
      </c>
      <c r="P397" s="371"/>
      <c r="Q397" s="595">
        <f t="shared" si="7"/>
        <v>0</v>
      </c>
    </row>
    <row r="398" spans="1:17" ht="24.75" customHeight="1">
      <c r="A398" s="51"/>
      <c r="B398" s="64" t="s">
        <v>177</v>
      </c>
      <c r="C398" s="64" t="s">
        <v>387</v>
      </c>
      <c r="D398" s="64" t="s">
        <v>390</v>
      </c>
      <c r="E398" s="48" t="s">
        <v>770</v>
      </c>
      <c r="F398" s="48" t="s">
        <v>546</v>
      </c>
      <c r="G398" s="48" t="s">
        <v>478</v>
      </c>
      <c r="H398" s="48" t="s">
        <v>770</v>
      </c>
      <c r="I398" s="48" t="s">
        <v>546</v>
      </c>
      <c r="J398" s="48" t="s">
        <v>770</v>
      </c>
      <c r="K398" s="48" t="s">
        <v>478</v>
      </c>
      <c r="L398" s="64" t="s">
        <v>773</v>
      </c>
      <c r="M398" s="64"/>
      <c r="N398" s="133"/>
      <c r="O398" s="371">
        <v>29.9</v>
      </c>
      <c r="P398" s="371">
        <v>29.9</v>
      </c>
      <c r="Q398" s="595">
        <f t="shared" si="7"/>
        <v>1</v>
      </c>
    </row>
    <row r="399" spans="1:17" ht="96" customHeight="1">
      <c r="A399" s="51" t="s">
        <v>800</v>
      </c>
      <c r="B399" s="64" t="s">
        <v>177</v>
      </c>
      <c r="C399" s="64" t="s">
        <v>387</v>
      </c>
      <c r="D399" s="64" t="s">
        <v>390</v>
      </c>
      <c r="E399" s="48" t="s">
        <v>770</v>
      </c>
      <c r="F399" s="48" t="s">
        <v>481</v>
      </c>
      <c r="G399" s="48" t="s">
        <v>970</v>
      </c>
      <c r="H399" s="48" t="s">
        <v>481</v>
      </c>
      <c r="I399" s="48" t="s">
        <v>770</v>
      </c>
      <c r="J399" s="48" t="s">
        <v>770</v>
      </c>
      <c r="K399" s="48" t="s">
        <v>478</v>
      </c>
      <c r="L399" s="64" t="s">
        <v>773</v>
      </c>
      <c r="M399" s="64"/>
      <c r="N399" s="133">
        <f>N400+N401+N402</f>
        <v>2497.79</v>
      </c>
      <c r="O399" s="371">
        <v>2688.88</v>
      </c>
      <c r="P399" s="371">
        <v>2688.88</v>
      </c>
      <c r="Q399" s="595">
        <f t="shared" si="7"/>
        <v>1</v>
      </c>
    </row>
    <row r="400" spans="1:17" ht="27" customHeight="1" hidden="1">
      <c r="A400" s="51" t="s">
        <v>774</v>
      </c>
      <c r="B400" s="64" t="s">
        <v>177</v>
      </c>
      <c r="C400" s="64" t="s">
        <v>387</v>
      </c>
      <c r="D400" s="64" t="s">
        <v>390</v>
      </c>
      <c r="E400" s="48"/>
      <c r="F400" s="48"/>
      <c r="G400" s="48"/>
      <c r="H400" s="48"/>
      <c r="I400" s="48"/>
      <c r="J400" s="48"/>
      <c r="K400" s="48"/>
      <c r="L400" s="64" t="s">
        <v>635</v>
      </c>
      <c r="M400" s="64" t="s">
        <v>636</v>
      </c>
      <c r="N400" s="133">
        <v>1962.2</v>
      </c>
      <c r="O400" s="371">
        <v>1962.2</v>
      </c>
      <c r="P400" s="371"/>
      <c r="Q400" s="595">
        <f t="shared" si="7"/>
        <v>0</v>
      </c>
    </row>
    <row r="401" spans="1:17" ht="27" customHeight="1" hidden="1">
      <c r="A401" s="51" t="s">
        <v>775</v>
      </c>
      <c r="B401" s="64" t="s">
        <v>177</v>
      </c>
      <c r="C401" s="64" t="s">
        <v>387</v>
      </c>
      <c r="D401" s="64" t="s">
        <v>390</v>
      </c>
      <c r="E401" s="48"/>
      <c r="F401" s="48"/>
      <c r="G401" s="48"/>
      <c r="H401" s="48"/>
      <c r="I401" s="48"/>
      <c r="J401" s="48"/>
      <c r="K401" s="48"/>
      <c r="L401" s="64" t="s">
        <v>635</v>
      </c>
      <c r="M401" s="64" t="s">
        <v>637</v>
      </c>
      <c r="N401" s="133">
        <v>524.59</v>
      </c>
      <c r="O401" s="371">
        <v>524.59</v>
      </c>
      <c r="P401" s="371"/>
      <c r="Q401" s="595">
        <f t="shared" si="7"/>
        <v>0</v>
      </c>
    </row>
    <row r="402" spans="1:17" ht="27" customHeight="1" hidden="1">
      <c r="A402" s="51" t="s">
        <v>776</v>
      </c>
      <c r="B402" s="64" t="s">
        <v>177</v>
      </c>
      <c r="C402" s="64" t="s">
        <v>387</v>
      </c>
      <c r="D402" s="64" t="s">
        <v>390</v>
      </c>
      <c r="E402" s="48"/>
      <c r="F402" s="48"/>
      <c r="G402" s="48"/>
      <c r="H402" s="48"/>
      <c r="I402" s="48"/>
      <c r="J402" s="48"/>
      <c r="K402" s="48"/>
      <c r="L402" s="64" t="s">
        <v>661</v>
      </c>
      <c r="M402" s="64" t="s">
        <v>660</v>
      </c>
      <c r="N402" s="133">
        <v>11</v>
      </c>
      <c r="O402" s="371">
        <v>11</v>
      </c>
      <c r="P402" s="371"/>
      <c r="Q402" s="595">
        <f t="shared" si="7"/>
        <v>0</v>
      </c>
    </row>
    <row r="403" spans="1:17" ht="40.5" customHeight="1">
      <c r="A403" s="125" t="s">
        <v>777</v>
      </c>
      <c r="B403" s="64" t="s">
        <v>177</v>
      </c>
      <c r="C403" s="64" t="s">
        <v>387</v>
      </c>
      <c r="D403" s="64" t="s">
        <v>390</v>
      </c>
      <c r="E403" s="48" t="s">
        <v>770</v>
      </c>
      <c r="F403" s="48" t="s">
        <v>481</v>
      </c>
      <c r="G403" s="48" t="s">
        <v>970</v>
      </c>
      <c r="H403" s="48" t="s">
        <v>481</v>
      </c>
      <c r="I403" s="48" t="s">
        <v>770</v>
      </c>
      <c r="J403" s="48" t="s">
        <v>770</v>
      </c>
      <c r="K403" s="48" t="s">
        <v>478</v>
      </c>
      <c r="L403" s="64" t="s">
        <v>778</v>
      </c>
      <c r="M403" s="64"/>
      <c r="N403" s="133">
        <v>770.27</v>
      </c>
      <c r="O403" s="371">
        <v>703.01</v>
      </c>
      <c r="P403" s="371">
        <v>703.01</v>
      </c>
      <c r="Q403" s="595">
        <f t="shared" si="7"/>
        <v>1</v>
      </c>
    </row>
    <row r="404" spans="1:17" ht="58.5" customHeight="1">
      <c r="A404" s="51" t="s">
        <v>869</v>
      </c>
      <c r="B404" s="64" t="s">
        <v>177</v>
      </c>
      <c r="C404" s="64" t="s">
        <v>387</v>
      </c>
      <c r="D404" s="64" t="s">
        <v>390</v>
      </c>
      <c r="E404" s="48" t="s">
        <v>770</v>
      </c>
      <c r="F404" s="48" t="s">
        <v>481</v>
      </c>
      <c r="G404" s="48" t="s">
        <v>480</v>
      </c>
      <c r="H404" s="48" t="s">
        <v>770</v>
      </c>
      <c r="I404" s="48" t="s">
        <v>481</v>
      </c>
      <c r="J404" s="48" t="s">
        <v>770</v>
      </c>
      <c r="K404" s="48" t="s">
        <v>480</v>
      </c>
      <c r="L404" s="64" t="s">
        <v>369</v>
      </c>
      <c r="M404" s="64"/>
      <c r="N404" s="133">
        <f>N405</f>
        <v>150</v>
      </c>
      <c r="O404" s="371">
        <f>O405</f>
        <v>25</v>
      </c>
      <c r="P404" s="371">
        <f>P405</f>
        <v>25</v>
      </c>
      <c r="Q404" s="595">
        <f t="shared" si="7"/>
        <v>1</v>
      </c>
    </row>
    <row r="405" spans="1:17" ht="34.5" customHeight="1">
      <c r="A405" s="125" t="s">
        <v>777</v>
      </c>
      <c r="B405" s="64" t="s">
        <v>177</v>
      </c>
      <c r="C405" s="64" t="s">
        <v>387</v>
      </c>
      <c r="D405" s="64" t="s">
        <v>390</v>
      </c>
      <c r="E405" s="48" t="s">
        <v>770</v>
      </c>
      <c r="F405" s="48" t="s">
        <v>481</v>
      </c>
      <c r="G405" s="48" t="s">
        <v>480</v>
      </c>
      <c r="H405" s="48" t="s">
        <v>770</v>
      </c>
      <c r="I405" s="48" t="s">
        <v>481</v>
      </c>
      <c r="J405" s="48" t="s">
        <v>770</v>
      </c>
      <c r="K405" s="48" t="s">
        <v>480</v>
      </c>
      <c r="L405" s="64" t="s">
        <v>778</v>
      </c>
      <c r="M405" s="64"/>
      <c r="N405" s="133">
        <v>150</v>
      </c>
      <c r="O405" s="371">
        <v>25</v>
      </c>
      <c r="P405" s="371">
        <v>25</v>
      </c>
      <c r="Q405" s="595">
        <f t="shared" si="7"/>
        <v>1</v>
      </c>
    </row>
    <row r="406" spans="1:18" ht="78" customHeight="1">
      <c r="A406" s="125" t="s">
        <v>870</v>
      </c>
      <c r="B406" s="64"/>
      <c r="C406" s="64"/>
      <c r="D406" s="64"/>
      <c r="E406" s="48" t="s">
        <v>770</v>
      </c>
      <c r="F406" s="48" t="s">
        <v>481</v>
      </c>
      <c r="G406" s="48" t="s">
        <v>479</v>
      </c>
      <c r="H406" s="48" t="s">
        <v>770</v>
      </c>
      <c r="I406" s="48" t="s">
        <v>481</v>
      </c>
      <c r="J406" s="48" t="s">
        <v>770</v>
      </c>
      <c r="K406" s="48" t="s">
        <v>479</v>
      </c>
      <c r="L406" s="64" t="s">
        <v>369</v>
      </c>
      <c r="M406" s="64"/>
      <c r="N406" s="133">
        <f>N407</f>
        <v>150</v>
      </c>
      <c r="O406" s="371">
        <f>O407</f>
        <v>105</v>
      </c>
      <c r="P406" s="371">
        <f>P407</f>
        <v>105</v>
      </c>
      <c r="Q406" s="595">
        <f t="shared" si="7"/>
        <v>1</v>
      </c>
      <c r="R406" s="81">
        <f>O392-O440-O438-O439</f>
        <v>41077.810000000005</v>
      </c>
    </row>
    <row r="407" spans="1:17" ht="34.5" customHeight="1">
      <c r="A407" s="125" t="s">
        <v>777</v>
      </c>
      <c r="B407" s="64" t="s">
        <v>177</v>
      </c>
      <c r="C407" s="64" t="s">
        <v>387</v>
      </c>
      <c r="D407" s="64" t="s">
        <v>390</v>
      </c>
      <c r="E407" s="48" t="s">
        <v>770</v>
      </c>
      <c r="F407" s="48" t="s">
        <v>481</v>
      </c>
      <c r="G407" s="48" t="s">
        <v>479</v>
      </c>
      <c r="H407" s="48" t="s">
        <v>770</v>
      </c>
      <c r="I407" s="48" t="s">
        <v>481</v>
      </c>
      <c r="J407" s="48" t="s">
        <v>770</v>
      </c>
      <c r="K407" s="48" t="s">
        <v>479</v>
      </c>
      <c r="L407" s="64" t="s">
        <v>778</v>
      </c>
      <c r="M407" s="64"/>
      <c r="N407" s="133">
        <v>150</v>
      </c>
      <c r="O407" s="371">
        <v>105</v>
      </c>
      <c r="P407" s="371">
        <v>105</v>
      </c>
      <c r="Q407" s="595">
        <f t="shared" si="7"/>
        <v>1</v>
      </c>
    </row>
    <row r="408" spans="1:17" ht="34.5" customHeight="1" hidden="1">
      <c r="A408" s="51" t="s">
        <v>779</v>
      </c>
      <c r="B408" s="64" t="s">
        <v>177</v>
      </c>
      <c r="C408" s="64" t="s">
        <v>387</v>
      </c>
      <c r="D408" s="64" t="s">
        <v>390</v>
      </c>
      <c r="E408" s="48"/>
      <c r="F408" s="48"/>
      <c r="G408" s="48"/>
      <c r="H408" s="48"/>
      <c r="I408" s="48"/>
      <c r="J408" s="48"/>
      <c r="K408" s="48"/>
      <c r="L408" s="48" t="s">
        <v>639</v>
      </c>
      <c r="M408" s="48" t="s">
        <v>640</v>
      </c>
      <c r="N408" s="133">
        <v>98.4</v>
      </c>
      <c r="O408" s="133">
        <v>98.4</v>
      </c>
      <c r="P408" s="133"/>
      <c r="Q408" s="595">
        <f t="shared" si="7"/>
        <v>0</v>
      </c>
    </row>
    <row r="409" spans="1:17" ht="34.5" customHeight="1" hidden="1">
      <c r="A409" s="51" t="s">
        <v>780</v>
      </c>
      <c r="B409" s="64" t="s">
        <v>177</v>
      </c>
      <c r="C409" s="64" t="s">
        <v>387</v>
      </c>
      <c r="D409" s="64" t="s">
        <v>390</v>
      </c>
      <c r="E409" s="48"/>
      <c r="F409" s="48"/>
      <c r="G409" s="48"/>
      <c r="H409" s="48"/>
      <c r="I409" s="48"/>
      <c r="J409" s="48"/>
      <c r="K409" s="48"/>
      <c r="L409" s="48" t="s">
        <v>639</v>
      </c>
      <c r="M409" s="48" t="s">
        <v>641</v>
      </c>
      <c r="N409" s="133">
        <v>10</v>
      </c>
      <c r="O409" s="133">
        <v>10</v>
      </c>
      <c r="P409" s="133"/>
      <c r="Q409" s="595">
        <f t="shared" si="7"/>
        <v>0</v>
      </c>
    </row>
    <row r="410" spans="1:17" ht="34.5" customHeight="1" hidden="1">
      <c r="A410" s="51" t="s">
        <v>781</v>
      </c>
      <c r="B410" s="64" t="s">
        <v>177</v>
      </c>
      <c r="C410" s="64" t="s">
        <v>387</v>
      </c>
      <c r="D410" s="64" t="s">
        <v>390</v>
      </c>
      <c r="E410" s="48"/>
      <c r="F410" s="48"/>
      <c r="G410" s="48"/>
      <c r="H410" s="48"/>
      <c r="I410" s="48"/>
      <c r="J410" s="48"/>
      <c r="K410" s="48"/>
      <c r="L410" s="48" t="s">
        <v>639</v>
      </c>
      <c r="M410" s="48" t="s">
        <v>642</v>
      </c>
      <c r="N410" s="133">
        <v>80</v>
      </c>
      <c r="O410" s="133">
        <v>80</v>
      </c>
      <c r="P410" s="133"/>
      <c r="Q410" s="595">
        <f t="shared" si="7"/>
        <v>0</v>
      </c>
    </row>
    <row r="411" spans="1:17" ht="34.5" customHeight="1" hidden="1">
      <c r="A411" s="51" t="s">
        <v>782</v>
      </c>
      <c r="B411" s="64" t="s">
        <v>177</v>
      </c>
      <c r="C411" s="64" t="s">
        <v>387</v>
      </c>
      <c r="D411" s="64" t="s">
        <v>390</v>
      </c>
      <c r="E411" s="48"/>
      <c r="F411" s="48"/>
      <c r="G411" s="48"/>
      <c r="H411" s="48"/>
      <c r="I411" s="48"/>
      <c r="J411" s="48"/>
      <c r="K411" s="48"/>
      <c r="L411" s="48" t="s">
        <v>639</v>
      </c>
      <c r="M411" s="48" t="s">
        <v>643</v>
      </c>
      <c r="N411" s="133">
        <v>97.83</v>
      </c>
      <c r="O411" s="133">
        <v>97.83</v>
      </c>
      <c r="P411" s="133"/>
      <c r="Q411" s="595">
        <f t="shared" si="7"/>
        <v>0</v>
      </c>
    </row>
    <row r="412" spans="1:17" ht="34.5" customHeight="1" hidden="1">
      <c r="A412" s="51" t="s">
        <v>783</v>
      </c>
      <c r="B412" s="64" t="s">
        <v>177</v>
      </c>
      <c r="C412" s="64" t="s">
        <v>387</v>
      </c>
      <c r="D412" s="64" t="s">
        <v>390</v>
      </c>
      <c r="E412" s="48"/>
      <c r="F412" s="48"/>
      <c r="G412" s="48"/>
      <c r="H412" s="48"/>
      <c r="I412" s="48"/>
      <c r="J412" s="48"/>
      <c r="K412" s="48"/>
      <c r="L412" s="48" t="s">
        <v>639</v>
      </c>
      <c r="M412" s="48" t="s">
        <v>644</v>
      </c>
      <c r="N412" s="133">
        <v>82.7</v>
      </c>
      <c r="O412" s="133">
        <v>82.7</v>
      </c>
      <c r="P412" s="133"/>
      <c r="Q412" s="595">
        <f t="shared" si="7"/>
        <v>0</v>
      </c>
    </row>
    <row r="413" spans="1:17" ht="34.5" customHeight="1" hidden="1">
      <c r="A413" s="51" t="s">
        <v>784</v>
      </c>
      <c r="B413" s="64" t="s">
        <v>177</v>
      </c>
      <c r="C413" s="64" t="s">
        <v>387</v>
      </c>
      <c r="D413" s="64" t="s">
        <v>390</v>
      </c>
      <c r="E413" s="48"/>
      <c r="F413" s="48"/>
      <c r="G413" s="48"/>
      <c r="H413" s="48"/>
      <c r="I413" s="48"/>
      <c r="J413" s="48"/>
      <c r="K413" s="48"/>
      <c r="L413" s="48" t="s">
        <v>639</v>
      </c>
      <c r="M413" s="48" t="s">
        <v>645</v>
      </c>
      <c r="N413" s="133">
        <v>199.85</v>
      </c>
      <c r="O413" s="133">
        <v>199.85</v>
      </c>
      <c r="P413" s="133"/>
      <c r="Q413" s="595">
        <f t="shared" si="7"/>
        <v>0</v>
      </c>
    </row>
    <row r="414" spans="1:17" ht="34.5" customHeight="1" hidden="1">
      <c r="A414" s="51" t="s">
        <v>785</v>
      </c>
      <c r="B414" s="64" t="s">
        <v>177</v>
      </c>
      <c r="C414" s="64" t="s">
        <v>387</v>
      </c>
      <c r="D414" s="64" t="s">
        <v>390</v>
      </c>
      <c r="E414" s="48"/>
      <c r="F414" s="48"/>
      <c r="G414" s="48"/>
      <c r="H414" s="48"/>
      <c r="I414" s="48"/>
      <c r="J414" s="48"/>
      <c r="K414" s="48"/>
      <c r="L414" s="48" t="s">
        <v>639</v>
      </c>
      <c r="M414" s="48" t="s">
        <v>646</v>
      </c>
      <c r="N414" s="133">
        <v>7.6</v>
      </c>
      <c r="O414" s="133">
        <v>7.6</v>
      </c>
      <c r="P414" s="133"/>
      <c r="Q414" s="595">
        <f t="shared" si="7"/>
        <v>0</v>
      </c>
    </row>
    <row r="415" spans="1:17" ht="34.5" customHeight="1" hidden="1">
      <c r="A415" s="51" t="s">
        <v>787</v>
      </c>
      <c r="B415" s="64" t="s">
        <v>177</v>
      </c>
      <c r="C415" s="64" t="s">
        <v>387</v>
      </c>
      <c r="D415" s="64" t="s">
        <v>390</v>
      </c>
      <c r="E415" s="48"/>
      <c r="F415" s="48"/>
      <c r="G415" s="48"/>
      <c r="H415" s="48"/>
      <c r="I415" s="48"/>
      <c r="J415" s="48"/>
      <c r="K415" s="48"/>
      <c r="L415" s="48" t="s">
        <v>639</v>
      </c>
      <c r="M415" s="48" t="s">
        <v>648</v>
      </c>
      <c r="N415" s="133">
        <v>193.89</v>
      </c>
      <c r="O415" s="133">
        <v>193.89</v>
      </c>
      <c r="P415" s="133"/>
      <c r="Q415" s="595">
        <f t="shared" si="7"/>
        <v>0</v>
      </c>
    </row>
    <row r="416" spans="1:17" ht="72.75" customHeight="1">
      <c r="A416" s="51" t="s">
        <v>871</v>
      </c>
      <c r="B416" s="64" t="s">
        <v>177</v>
      </c>
      <c r="C416" s="64" t="s">
        <v>387</v>
      </c>
      <c r="D416" s="64" t="s">
        <v>390</v>
      </c>
      <c r="E416" s="48"/>
      <c r="F416" s="48"/>
      <c r="G416" s="48"/>
      <c r="H416" s="48"/>
      <c r="I416" s="48"/>
      <c r="J416" s="48"/>
      <c r="K416" s="48"/>
      <c r="L416" s="48" t="s">
        <v>369</v>
      </c>
      <c r="M416" s="48"/>
      <c r="N416" s="133">
        <f>N417+N419+N421+N423+N424+N425+N426+N427+N429</f>
        <v>16832.04</v>
      </c>
      <c r="O416" s="133">
        <f>O417+O419+O421+O423+O424+O425+O426+O427+O429+O431+O432+O433+O434+O435+O436+O437+O438+O439+O440</f>
        <v>39565.64000000001</v>
      </c>
      <c r="P416" s="133">
        <f>P417+P419+P421+P423+P424+P425+P426+P427+P429+P431+P432+P433+P434+P435+P436+P437+P438+P439+P440</f>
        <v>29710.949999999997</v>
      </c>
      <c r="Q416" s="595">
        <f t="shared" si="7"/>
        <v>0.7509280779989909</v>
      </c>
    </row>
    <row r="417" spans="1:17" ht="203.25" customHeight="1">
      <c r="A417" s="55" t="s">
        <v>872</v>
      </c>
      <c r="B417" s="64" t="s">
        <v>177</v>
      </c>
      <c r="C417" s="64" t="s">
        <v>387</v>
      </c>
      <c r="D417" s="64" t="s">
        <v>390</v>
      </c>
      <c r="E417" s="48" t="s">
        <v>770</v>
      </c>
      <c r="F417" s="48" t="s">
        <v>481</v>
      </c>
      <c r="G417" s="48" t="s">
        <v>789</v>
      </c>
      <c r="H417" s="48" t="s">
        <v>470</v>
      </c>
      <c r="I417" s="48" t="s">
        <v>770</v>
      </c>
      <c r="J417" s="48" t="s">
        <v>479</v>
      </c>
      <c r="K417" s="48" t="s">
        <v>552</v>
      </c>
      <c r="L417" s="64" t="s">
        <v>363</v>
      </c>
      <c r="M417" s="64"/>
      <c r="N417" s="133">
        <v>73.16</v>
      </c>
      <c r="O417" s="133">
        <v>0</v>
      </c>
      <c r="P417" s="133"/>
      <c r="Q417" s="595" t="e">
        <f t="shared" si="7"/>
        <v>#DIV/0!</v>
      </c>
    </row>
    <row r="418" spans="1:17" ht="16.5" hidden="1">
      <c r="A418" s="55" t="s">
        <v>873</v>
      </c>
      <c r="B418" s="64" t="s">
        <v>177</v>
      </c>
      <c r="C418" s="64" t="s">
        <v>387</v>
      </c>
      <c r="D418" s="64" t="s">
        <v>390</v>
      </c>
      <c r="E418" s="64"/>
      <c r="F418" s="64"/>
      <c r="G418" s="64"/>
      <c r="H418" s="64"/>
      <c r="I418" s="64"/>
      <c r="J418" s="64"/>
      <c r="K418" s="64"/>
      <c r="L418" s="64" t="s">
        <v>364</v>
      </c>
      <c r="M418" s="64"/>
      <c r="N418" s="133">
        <f>N417</f>
        <v>73.16</v>
      </c>
      <c r="O418" s="133">
        <f>O417</f>
        <v>0</v>
      </c>
      <c r="P418" s="133"/>
      <c r="Q418" s="595" t="e">
        <f t="shared" si="7"/>
        <v>#DIV/0!</v>
      </c>
    </row>
    <row r="419" spans="1:17" ht="193.5" customHeight="1">
      <c r="A419" s="55" t="s">
        <v>874</v>
      </c>
      <c r="B419" s="64" t="s">
        <v>177</v>
      </c>
      <c r="C419" s="64" t="s">
        <v>387</v>
      </c>
      <c r="D419" s="64" t="s">
        <v>390</v>
      </c>
      <c r="E419" s="48" t="s">
        <v>770</v>
      </c>
      <c r="F419" s="48" t="s">
        <v>481</v>
      </c>
      <c r="G419" s="48" t="s">
        <v>789</v>
      </c>
      <c r="H419" s="48" t="s">
        <v>470</v>
      </c>
      <c r="I419" s="48" t="s">
        <v>770</v>
      </c>
      <c r="J419" s="48" t="s">
        <v>480</v>
      </c>
      <c r="K419" s="48" t="s">
        <v>548</v>
      </c>
      <c r="L419" s="64" t="s">
        <v>363</v>
      </c>
      <c r="M419" s="64"/>
      <c r="N419" s="133">
        <v>275</v>
      </c>
      <c r="O419" s="371">
        <v>153.38</v>
      </c>
      <c r="P419" s="371">
        <v>153.38</v>
      </c>
      <c r="Q419" s="595">
        <f t="shared" si="7"/>
        <v>1</v>
      </c>
    </row>
    <row r="420" spans="1:17" ht="16.5" hidden="1">
      <c r="A420" s="55" t="s">
        <v>873</v>
      </c>
      <c r="B420" s="64" t="s">
        <v>177</v>
      </c>
      <c r="C420" s="64" t="s">
        <v>387</v>
      </c>
      <c r="D420" s="64" t="s">
        <v>390</v>
      </c>
      <c r="E420" s="64"/>
      <c r="F420" s="64"/>
      <c r="G420" s="64"/>
      <c r="H420" s="64"/>
      <c r="I420" s="64"/>
      <c r="J420" s="64"/>
      <c r="K420" s="64"/>
      <c r="L420" s="64" t="s">
        <v>364</v>
      </c>
      <c r="M420" s="64"/>
      <c r="N420" s="133">
        <f>N419</f>
        <v>275</v>
      </c>
      <c r="O420" s="371">
        <f>O419</f>
        <v>153.38</v>
      </c>
      <c r="P420" s="371"/>
      <c r="Q420" s="595">
        <f t="shared" si="7"/>
        <v>0</v>
      </c>
    </row>
    <row r="421" spans="1:17" ht="175.5" customHeight="1">
      <c r="A421" s="55" t="s">
        <v>875</v>
      </c>
      <c r="B421" s="64" t="s">
        <v>177</v>
      </c>
      <c r="C421" s="64" t="s">
        <v>387</v>
      </c>
      <c r="D421" s="64" t="s">
        <v>390</v>
      </c>
      <c r="E421" s="64" t="s">
        <v>770</v>
      </c>
      <c r="F421" s="64" t="s">
        <v>481</v>
      </c>
      <c r="G421" s="64" t="s">
        <v>789</v>
      </c>
      <c r="H421" s="64" t="s">
        <v>470</v>
      </c>
      <c r="I421" s="64" t="s">
        <v>770</v>
      </c>
      <c r="J421" s="64" t="s">
        <v>470</v>
      </c>
      <c r="K421" s="64" t="s">
        <v>470</v>
      </c>
      <c r="L421" s="64" t="s">
        <v>363</v>
      </c>
      <c r="M421" s="64"/>
      <c r="N421" s="133">
        <v>5500</v>
      </c>
      <c r="O421" s="371">
        <v>15115</v>
      </c>
      <c r="P421" s="371">
        <v>8780.31</v>
      </c>
      <c r="Q421" s="595">
        <f t="shared" si="7"/>
        <v>0.5809004300363877</v>
      </c>
    </row>
    <row r="422" spans="1:17" ht="16.5" hidden="1">
      <c r="A422" s="55" t="s">
        <v>873</v>
      </c>
      <c r="B422" s="64" t="s">
        <v>177</v>
      </c>
      <c r="C422" s="64" t="s">
        <v>387</v>
      </c>
      <c r="D422" s="64" t="s">
        <v>390</v>
      </c>
      <c r="E422" s="64"/>
      <c r="F422" s="64"/>
      <c r="G422" s="64"/>
      <c r="H422" s="64"/>
      <c r="I422" s="64"/>
      <c r="J422" s="64"/>
      <c r="K422" s="64"/>
      <c r="L422" s="64" t="s">
        <v>364</v>
      </c>
      <c r="M422" s="64"/>
      <c r="N422" s="133">
        <f>N421</f>
        <v>5500</v>
      </c>
      <c r="O422" s="371">
        <f>O421</f>
        <v>15115</v>
      </c>
      <c r="P422" s="371"/>
      <c r="Q422" s="595">
        <f t="shared" si="7"/>
        <v>0</v>
      </c>
    </row>
    <row r="423" spans="1:17" ht="150.75" customHeight="1">
      <c r="A423" s="55" t="s">
        <v>876</v>
      </c>
      <c r="B423" s="64" t="s">
        <v>177</v>
      </c>
      <c r="C423" s="64" t="s">
        <v>387</v>
      </c>
      <c r="D423" s="64" t="s">
        <v>390</v>
      </c>
      <c r="E423" s="64" t="s">
        <v>770</v>
      </c>
      <c r="F423" s="64" t="s">
        <v>481</v>
      </c>
      <c r="G423" s="64" t="s">
        <v>789</v>
      </c>
      <c r="H423" s="64" t="s">
        <v>470</v>
      </c>
      <c r="I423" s="64" t="s">
        <v>770</v>
      </c>
      <c r="J423" s="64" t="s">
        <v>479</v>
      </c>
      <c r="K423" s="64" t="s">
        <v>528</v>
      </c>
      <c r="L423" s="64" t="s">
        <v>363</v>
      </c>
      <c r="M423" s="64"/>
      <c r="N423" s="133">
        <v>107.5</v>
      </c>
      <c r="O423" s="371">
        <v>0</v>
      </c>
      <c r="P423" s="371"/>
      <c r="Q423" s="595" t="e">
        <f t="shared" si="7"/>
        <v>#DIV/0!</v>
      </c>
    </row>
    <row r="424" spans="1:17" ht="150.75" customHeight="1">
      <c r="A424" s="55" t="s">
        <v>877</v>
      </c>
      <c r="B424" s="64" t="s">
        <v>177</v>
      </c>
      <c r="C424" s="64" t="s">
        <v>387</v>
      </c>
      <c r="D424" s="64" t="s">
        <v>390</v>
      </c>
      <c r="E424" s="64" t="s">
        <v>770</v>
      </c>
      <c r="F424" s="64" t="s">
        <v>481</v>
      </c>
      <c r="G424" s="64" t="s">
        <v>789</v>
      </c>
      <c r="H424" s="64" t="s">
        <v>470</v>
      </c>
      <c r="I424" s="64" t="s">
        <v>770</v>
      </c>
      <c r="J424" s="64" t="s">
        <v>480</v>
      </c>
      <c r="K424" s="64" t="s">
        <v>470</v>
      </c>
      <c r="L424" s="64" t="s">
        <v>363</v>
      </c>
      <c r="M424" s="64"/>
      <c r="N424" s="133">
        <v>103</v>
      </c>
      <c r="O424" s="371">
        <v>81.6</v>
      </c>
      <c r="P424" s="371">
        <v>81.6</v>
      </c>
      <c r="Q424" s="595">
        <f t="shared" si="7"/>
        <v>1</v>
      </c>
    </row>
    <row r="425" spans="1:17" ht="150.75" customHeight="1">
      <c r="A425" s="55" t="s">
        <v>878</v>
      </c>
      <c r="B425" s="64" t="s">
        <v>177</v>
      </c>
      <c r="C425" s="64" t="s">
        <v>387</v>
      </c>
      <c r="D425" s="64" t="s">
        <v>390</v>
      </c>
      <c r="E425" s="64" t="s">
        <v>770</v>
      </c>
      <c r="F425" s="64" t="s">
        <v>481</v>
      </c>
      <c r="G425" s="64" t="s">
        <v>789</v>
      </c>
      <c r="H425" s="64" t="s">
        <v>470</v>
      </c>
      <c r="I425" s="64" t="s">
        <v>770</v>
      </c>
      <c r="J425" s="64" t="s">
        <v>470</v>
      </c>
      <c r="K425" s="64" t="s">
        <v>770</v>
      </c>
      <c r="L425" s="64" t="s">
        <v>363</v>
      </c>
      <c r="M425" s="64"/>
      <c r="N425" s="133">
        <v>1304.04</v>
      </c>
      <c r="O425" s="371">
        <v>1529.28</v>
      </c>
      <c r="P425" s="371">
        <v>1529.28</v>
      </c>
      <c r="Q425" s="595">
        <f t="shared" si="7"/>
        <v>1</v>
      </c>
    </row>
    <row r="426" spans="1:17" ht="150.75" customHeight="1">
      <c r="A426" s="55" t="s">
        <v>879</v>
      </c>
      <c r="B426" s="64" t="s">
        <v>177</v>
      </c>
      <c r="C426" s="64" t="s">
        <v>387</v>
      </c>
      <c r="D426" s="64" t="s">
        <v>390</v>
      </c>
      <c r="E426" s="64" t="s">
        <v>770</v>
      </c>
      <c r="F426" s="64" t="s">
        <v>481</v>
      </c>
      <c r="G426" s="64" t="s">
        <v>789</v>
      </c>
      <c r="H426" s="64" t="s">
        <v>470</v>
      </c>
      <c r="I426" s="64" t="s">
        <v>770</v>
      </c>
      <c r="J426" s="64" t="s">
        <v>470</v>
      </c>
      <c r="K426" s="64" t="s">
        <v>479</v>
      </c>
      <c r="L426" s="64" t="s">
        <v>363</v>
      </c>
      <c r="M426" s="64"/>
      <c r="N426" s="133">
        <v>2454</v>
      </c>
      <c r="O426" s="371">
        <v>0</v>
      </c>
      <c r="P426" s="371"/>
      <c r="Q426" s="595" t="e">
        <f t="shared" si="7"/>
        <v>#DIV/0!</v>
      </c>
    </row>
    <row r="427" spans="1:17" ht="150.75" customHeight="1">
      <c r="A427" s="55" t="s">
        <v>880</v>
      </c>
      <c r="B427" s="64" t="s">
        <v>177</v>
      </c>
      <c r="C427" s="64" t="s">
        <v>387</v>
      </c>
      <c r="D427" s="64" t="s">
        <v>390</v>
      </c>
      <c r="E427" s="64" t="s">
        <v>770</v>
      </c>
      <c r="F427" s="64" t="s">
        <v>481</v>
      </c>
      <c r="G427" s="64" t="s">
        <v>789</v>
      </c>
      <c r="H427" s="64" t="s">
        <v>470</v>
      </c>
      <c r="I427" s="64" t="s">
        <v>770</v>
      </c>
      <c r="J427" s="64" t="s">
        <v>480</v>
      </c>
      <c r="K427" s="64" t="s">
        <v>528</v>
      </c>
      <c r="L427" s="64" t="s">
        <v>363</v>
      </c>
      <c r="M427" s="64"/>
      <c r="N427" s="133">
        <v>100.5</v>
      </c>
      <c r="O427" s="371">
        <v>262.45</v>
      </c>
      <c r="P427" s="371">
        <v>262.45</v>
      </c>
      <c r="Q427" s="595">
        <f t="shared" si="7"/>
        <v>1</v>
      </c>
    </row>
    <row r="428" spans="1:17" ht="16.5" hidden="1">
      <c r="A428" s="55" t="s">
        <v>873</v>
      </c>
      <c r="B428" s="64" t="s">
        <v>177</v>
      </c>
      <c r="C428" s="64" t="s">
        <v>387</v>
      </c>
      <c r="D428" s="64" t="s">
        <v>390</v>
      </c>
      <c r="E428" s="64"/>
      <c r="F428" s="64"/>
      <c r="G428" s="64"/>
      <c r="H428" s="64"/>
      <c r="I428" s="64"/>
      <c r="J428" s="64"/>
      <c r="K428" s="64"/>
      <c r="L428" s="64" t="s">
        <v>364</v>
      </c>
      <c r="M428" s="64"/>
      <c r="N428" s="133">
        <f>N427</f>
        <v>100.5</v>
      </c>
      <c r="O428" s="371">
        <f>O427</f>
        <v>262.45</v>
      </c>
      <c r="P428" s="371"/>
      <c r="Q428" s="595">
        <f t="shared" si="7"/>
        <v>0</v>
      </c>
    </row>
    <row r="429" spans="1:17" ht="87.75" customHeight="1">
      <c r="A429" s="55" t="s">
        <v>881</v>
      </c>
      <c r="B429" s="64" t="s">
        <v>177</v>
      </c>
      <c r="C429" s="64" t="s">
        <v>387</v>
      </c>
      <c r="D429" s="64" t="s">
        <v>390</v>
      </c>
      <c r="E429" s="64" t="s">
        <v>770</v>
      </c>
      <c r="F429" s="64" t="s">
        <v>481</v>
      </c>
      <c r="G429" s="64" t="s">
        <v>789</v>
      </c>
      <c r="H429" s="64" t="s">
        <v>481</v>
      </c>
      <c r="I429" s="64" t="s">
        <v>770</v>
      </c>
      <c r="J429" s="64" t="s">
        <v>770</v>
      </c>
      <c r="K429" s="64" t="s">
        <v>480</v>
      </c>
      <c r="L429" s="64" t="s">
        <v>363</v>
      </c>
      <c r="M429" s="64"/>
      <c r="N429" s="133">
        <v>6914.84</v>
      </c>
      <c r="O429" s="371">
        <v>6402.58</v>
      </c>
      <c r="P429" s="371">
        <v>6402.58</v>
      </c>
      <c r="Q429" s="595">
        <f t="shared" si="7"/>
        <v>1</v>
      </c>
    </row>
    <row r="430" spans="1:17" ht="14.25" customHeight="1" hidden="1">
      <c r="A430" s="55" t="s">
        <v>873</v>
      </c>
      <c r="B430" s="64" t="s">
        <v>177</v>
      </c>
      <c r="C430" s="64" t="s">
        <v>387</v>
      </c>
      <c r="D430" s="64" t="s">
        <v>390</v>
      </c>
      <c r="E430" s="64"/>
      <c r="F430" s="64"/>
      <c r="G430" s="64"/>
      <c r="H430" s="64"/>
      <c r="I430" s="64"/>
      <c r="J430" s="64"/>
      <c r="K430" s="64"/>
      <c r="L430" s="64" t="s">
        <v>364</v>
      </c>
      <c r="M430" s="64"/>
      <c r="N430" s="133">
        <v>4187.57</v>
      </c>
      <c r="O430" s="371">
        <v>4187.57</v>
      </c>
      <c r="P430" s="371"/>
      <c r="Q430" s="595">
        <f t="shared" si="7"/>
        <v>0</v>
      </c>
    </row>
    <row r="431" spans="1:17" ht="129" customHeight="1">
      <c r="A431" s="55" t="s">
        <v>971</v>
      </c>
      <c r="B431" s="64" t="s">
        <v>177</v>
      </c>
      <c r="C431" s="64" t="s">
        <v>387</v>
      </c>
      <c r="D431" s="64" t="s">
        <v>390</v>
      </c>
      <c r="E431" s="64" t="s">
        <v>770</v>
      </c>
      <c r="F431" s="64" t="s">
        <v>481</v>
      </c>
      <c r="G431" s="64" t="s">
        <v>789</v>
      </c>
      <c r="H431" s="64" t="s">
        <v>470</v>
      </c>
      <c r="I431" s="64" t="s">
        <v>770</v>
      </c>
      <c r="J431" s="64" t="s">
        <v>479</v>
      </c>
      <c r="K431" s="64" t="s">
        <v>480</v>
      </c>
      <c r="L431" s="64" t="s">
        <v>363</v>
      </c>
      <c r="M431" s="64"/>
      <c r="N431" s="133">
        <v>0</v>
      </c>
      <c r="O431" s="371">
        <v>0</v>
      </c>
      <c r="P431" s="371"/>
      <c r="Q431" s="595" t="e">
        <f t="shared" si="7"/>
        <v>#DIV/0!</v>
      </c>
    </row>
    <row r="432" spans="1:17" ht="64.5" customHeight="1">
      <c r="A432" s="55" t="s">
        <v>972</v>
      </c>
      <c r="B432" s="64" t="s">
        <v>177</v>
      </c>
      <c r="C432" s="64" t="s">
        <v>387</v>
      </c>
      <c r="D432" s="64" t="s">
        <v>390</v>
      </c>
      <c r="E432" s="64" t="s">
        <v>770</v>
      </c>
      <c r="F432" s="64" t="s">
        <v>481</v>
      </c>
      <c r="G432" s="64" t="s">
        <v>789</v>
      </c>
      <c r="H432" s="64" t="s">
        <v>470</v>
      </c>
      <c r="I432" s="64" t="s">
        <v>770</v>
      </c>
      <c r="J432" s="64" t="s">
        <v>479</v>
      </c>
      <c r="K432" s="64" t="s">
        <v>548</v>
      </c>
      <c r="L432" s="64" t="s">
        <v>363</v>
      </c>
      <c r="M432" s="64"/>
      <c r="N432" s="133">
        <v>0</v>
      </c>
      <c r="O432" s="371">
        <v>261.86</v>
      </c>
      <c r="P432" s="371">
        <v>261.86</v>
      </c>
      <c r="Q432" s="595">
        <f t="shared" si="7"/>
        <v>1</v>
      </c>
    </row>
    <row r="433" spans="1:17" ht="80.25" customHeight="1">
      <c r="A433" s="55" t="s">
        <v>973</v>
      </c>
      <c r="B433" s="64" t="s">
        <v>177</v>
      </c>
      <c r="C433" s="64" t="s">
        <v>387</v>
      </c>
      <c r="D433" s="64" t="s">
        <v>390</v>
      </c>
      <c r="E433" s="64" t="s">
        <v>770</v>
      </c>
      <c r="F433" s="64" t="s">
        <v>481</v>
      </c>
      <c r="G433" s="64" t="s">
        <v>789</v>
      </c>
      <c r="H433" s="64" t="s">
        <v>470</v>
      </c>
      <c r="I433" s="64" t="s">
        <v>770</v>
      </c>
      <c r="J433" s="64" t="s">
        <v>480</v>
      </c>
      <c r="K433" s="64" t="s">
        <v>480</v>
      </c>
      <c r="L433" s="64" t="s">
        <v>363</v>
      </c>
      <c r="M433" s="64"/>
      <c r="N433" s="133">
        <v>0</v>
      </c>
      <c r="O433" s="371">
        <v>18</v>
      </c>
      <c r="P433" s="371">
        <v>18</v>
      </c>
      <c r="Q433" s="595">
        <f t="shared" si="7"/>
        <v>1</v>
      </c>
    </row>
    <row r="434" spans="1:17" ht="87" customHeight="1">
      <c r="A434" s="55" t="s">
        <v>974</v>
      </c>
      <c r="B434" s="64" t="s">
        <v>177</v>
      </c>
      <c r="C434" s="64" t="s">
        <v>387</v>
      </c>
      <c r="D434" s="64" t="s">
        <v>390</v>
      </c>
      <c r="E434" s="64" t="s">
        <v>770</v>
      </c>
      <c r="F434" s="64" t="s">
        <v>481</v>
      </c>
      <c r="G434" s="64" t="s">
        <v>789</v>
      </c>
      <c r="H434" s="64" t="s">
        <v>470</v>
      </c>
      <c r="I434" s="64" t="s">
        <v>770</v>
      </c>
      <c r="J434" s="64" t="s">
        <v>470</v>
      </c>
      <c r="K434" s="64" t="s">
        <v>478</v>
      </c>
      <c r="L434" s="64" t="s">
        <v>363</v>
      </c>
      <c r="M434" s="64"/>
      <c r="N434" s="133">
        <v>0</v>
      </c>
      <c r="O434" s="371">
        <v>103.76</v>
      </c>
      <c r="P434" s="371">
        <v>103.76</v>
      </c>
      <c r="Q434" s="595">
        <f t="shared" si="7"/>
        <v>1</v>
      </c>
    </row>
    <row r="435" spans="1:17" ht="57" customHeight="1">
      <c r="A435" s="55" t="s">
        <v>975</v>
      </c>
      <c r="B435" s="64" t="s">
        <v>177</v>
      </c>
      <c r="C435" s="64" t="s">
        <v>387</v>
      </c>
      <c r="D435" s="64" t="s">
        <v>390</v>
      </c>
      <c r="E435" s="64" t="s">
        <v>770</v>
      </c>
      <c r="F435" s="64" t="s">
        <v>481</v>
      </c>
      <c r="G435" s="64" t="s">
        <v>789</v>
      </c>
      <c r="H435" s="64" t="s">
        <v>470</v>
      </c>
      <c r="I435" s="64" t="s">
        <v>770</v>
      </c>
      <c r="J435" s="64" t="s">
        <v>470</v>
      </c>
      <c r="K435" s="64" t="s">
        <v>479</v>
      </c>
      <c r="L435" s="64" t="s">
        <v>363</v>
      </c>
      <c r="M435" s="64"/>
      <c r="N435" s="133">
        <v>0</v>
      </c>
      <c r="O435" s="371">
        <v>4698</v>
      </c>
      <c r="P435" s="371">
        <v>4698</v>
      </c>
      <c r="Q435" s="595">
        <f t="shared" si="7"/>
        <v>1</v>
      </c>
    </row>
    <row r="436" spans="1:17" ht="80.25" customHeight="1">
      <c r="A436" s="55" t="s">
        <v>976</v>
      </c>
      <c r="B436" s="64" t="s">
        <v>177</v>
      </c>
      <c r="C436" s="64" t="s">
        <v>387</v>
      </c>
      <c r="D436" s="64" t="s">
        <v>390</v>
      </c>
      <c r="E436" s="64" t="s">
        <v>770</v>
      </c>
      <c r="F436" s="64" t="s">
        <v>481</v>
      </c>
      <c r="G436" s="64" t="s">
        <v>789</v>
      </c>
      <c r="H436" s="64" t="s">
        <v>470</v>
      </c>
      <c r="I436" s="64" t="s">
        <v>770</v>
      </c>
      <c r="J436" s="64" t="s">
        <v>470</v>
      </c>
      <c r="K436" s="64" t="s">
        <v>480</v>
      </c>
      <c r="L436" s="64" t="s">
        <v>363</v>
      </c>
      <c r="M436" s="64"/>
      <c r="N436" s="133">
        <v>0</v>
      </c>
      <c r="O436" s="371">
        <f>5089.5+3520</f>
        <v>8609.5</v>
      </c>
      <c r="P436" s="371">
        <v>5089.5</v>
      </c>
      <c r="Q436" s="595">
        <f t="shared" si="7"/>
        <v>0.5911493118067251</v>
      </c>
    </row>
    <row r="437" spans="1:17" ht="79.5" customHeight="1">
      <c r="A437" s="55" t="s">
        <v>950</v>
      </c>
      <c r="B437" s="64" t="s">
        <v>177</v>
      </c>
      <c r="C437" s="64" t="s">
        <v>387</v>
      </c>
      <c r="D437" s="64" t="s">
        <v>390</v>
      </c>
      <c r="E437" s="64" t="s">
        <v>770</v>
      </c>
      <c r="F437" s="64" t="s">
        <v>481</v>
      </c>
      <c r="G437" s="64" t="s">
        <v>789</v>
      </c>
      <c r="H437" s="64" t="s">
        <v>481</v>
      </c>
      <c r="I437" s="64" t="s">
        <v>770</v>
      </c>
      <c r="J437" s="64" t="s">
        <v>770</v>
      </c>
      <c r="K437" s="64" t="s">
        <v>480</v>
      </c>
      <c r="L437" s="64" t="s">
        <v>363</v>
      </c>
      <c r="M437" s="64"/>
      <c r="N437" s="133">
        <v>0</v>
      </c>
      <c r="O437" s="371">
        <v>0</v>
      </c>
      <c r="P437" s="371"/>
      <c r="Q437" s="595" t="e">
        <f t="shared" si="7"/>
        <v>#DIV/0!</v>
      </c>
    </row>
    <row r="438" spans="1:17" ht="113.25" customHeight="1">
      <c r="A438" s="55" t="s">
        <v>977</v>
      </c>
      <c r="B438" s="64" t="s">
        <v>177</v>
      </c>
      <c r="C438" s="64" t="s">
        <v>483</v>
      </c>
      <c r="D438" s="64" t="s">
        <v>391</v>
      </c>
      <c r="E438" s="64" t="s">
        <v>770</v>
      </c>
      <c r="F438" s="64" t="s">
        <v>481</v>
      </c>
      <c r="G438" s="64" t="s">
        <v>528</v>
      </c>
      <c r="H438" s="64" t="s">
        <v>470</v>
      </c>
      <c r="I438" s="64" t="s">
        <v>770</v>
      </c>
      <c r="J438" s="64" t="s">
        <v>528</v>
      </c>
      <c r="K438" s="64" t="s">
        <v>548</v>
      </c>
      <c r="L438" s="64" t="s">
        <v>514</v>
      </c>
      <c r="M438" s="64"/>
      <c r="N438" s="133">
        <v>0</v>
      </c>
      <c r="O438" s="371">
        <v>1014.55</v>
      </c>
      <c r="P438" s="371">
        <v>1014.55</v>
      </c>
      <c r="Q438" s="595">
        <f t="shared" si="7"/>
        <v>1</v>
      </c>
    </row>
    <row r="439" spans="1:17" ht="78" customHeight="1">
      <c r="A439" s="55" t="s">
        <v>978</v>
      </c>
      <c r="B439" s="64" t="s">
        <v>177</v>
      </c>
      <c r="C439" s="64" t="s">
        <v>483</v>
      </c>
      <c r="D439" s="64" t="s">
        <v>391</v>
      </c>
      <c r="E439" s="64" t="s">
        <v>770</v>
      </c>
      <c r="F439" s="64" t="s">
        <v>481</v>
      </c>
      <c r="G439" s="64" t="s">
        <v>528</v>
      </c>
      <c r="H439" s="64" t="s">
        <v>481</v>
      </c>
      <c r="I439" s="64" t="s">
        <v>770</v>
      </c>
      <c r="J439" s="64" t="s">
        <v>479</v>
      </c>
      <c r="K439" s="64" t="s">
        <v>546</v>
      </c>
      <c r="L439" s="64" t="s">
        <v>514</v>
      </c>
      <c r="M439" s="64"/>
      <c r="N439" s="133">
        <v>0</v>
      </c>
      <c r="O439" s="371">
        <v>1315.68</v>
      </c>
      <c r="P439" s="371">
        <v>1315.68</v>
      </c>
      <c r="Q439" s="595">
        <f t="shared" si="7"/>
        <v>1</v>
      </c>
    </row>
    <row r="440" spans="1:17" ht="135.75" customHeight="1">
      <c r="A440" s="55" t="s">
        <v>979</v>
      </c>
      <c r="B440" s="64" t="s">
        <v>177</v>
      </c>
      <c r="C440" s="64" t="s">
        <v>390</v>
      </c>
      <c r="D440" s="64" t="s">
        <v>382</v>
      </c>
      <c r="E440" s="64" t="s">
        <v>770</v>
      </c>
      <c r="F440" s="64" t="s">
        <v>481</v>
      </c>
      <c r="G440" s="64" t="s">
        <v>528</v>
      </c>
      <c r="H440" s="64" t="s">
        <v>481</v>
      </c>
      <c r="I440" s="64" t="s">
        <v>481</v>
      </c>
      <c r="J440" s="64" t="s">
        <v>770</v>
      </c>
      <c r="K440" s="64" t="s">
        <v>470</v>
      </c>
      <c r="L440" s="64" t="s">
        <v>778</v>
      </c>
      <c r="M440" s="64"/>
      <c r="N440" s="133">
        <v>0</v>
      </c>
      <c r="O440" s="371">
        <v>0</v>
      </c>
      <c r="P440" s="371"/>
      <c r="Q440" s="595" t="e">
        <f t="shared" si="7"/>
        <v>#DIV/0!</v>
      </c>
    </row>
    <row r="441" spans="1:18" ht="84" customHeight="1" outlineLevel="1">
      <c r="A441" s="349" t="s">
        <v>882</v>
      </c>
      <c r="B441" s="350" t="s">
        <v>514</v>
      </c>
      <c r="C441" s="350"/>
      <c r="D441" s="350"/>
      <c r="E441" s="350"/>
      <c r="F441" s="350"/>
      <c r="G441" s="350"/>
      <c r="H441" s="350"/>
      <c r="I441" s="350"/>
      <c r="J441" s="350"/>
      <c r="K441" s="350"/>
      <c r="L441" s="350"/>
      <c r="M441" s="350"/>
      <c r="N441" s="351">
        <f>N442</f>
        <v>17238.96</v>
      </c>
      <c r="O441" s="564">
        <f>O442</f>
        <v>5331.86</v>
      </c>
      <c r="P441" s="564">
        <f>P442</f>
        <v>5331.86</v>
      </c>
      <c r="Q441" s="595">
        <f t="shared" si="7"/>
        <v>1</v>
      </c>
      <c r="R441" s="80">
        <f>O444+O445+O447+O449</f>
        <v>5331.86</v>
      </c>
    </row>
    <row r="442" spans="1:17" s="79" customFormat="1" ht="54.75" customHeight="1" outlineLevel="2">
      <c r="A442" s="352" t="s">
        <v>883</v>
      </c>
      <c r="B442" s="353" t="s">
        <v>514</v>
      </c>
      <c r="C442" s="353" t="s">
        <v>251</v>
      </c>
      <c r="D442" s="353" t="s">
        <v>390</v>
      </c>
      <c r="E442" s="353" t="s">
        <v>770</v>
      </c>
      <c r="F442" s="353" t="s">
        <v>478</v>
      </c>
      <c r="G442" s="353"/>
      <c r="H442" s="353"/>
      <c r="I442" s="353"/>
      <c r="J442" s="353"/>
      <c r="K442" s="353"/>
      <c r="L442" s="353" t="s">
        <v>369</v>
      </c>
      <c r="M442" s="367"/>
      <c r="N442" s="368">
        <f>N443+N446+N448</f>
        <v>17238.96</v>
      </c>
      <c r="O442" s="368">
        <f>O443+O446+O448</f>
        <v>5331.86</v>
      </c>
      <c r="P442" s="368">
        <f>P443+P446+P448</f>
        <v>5331.86</v>
      </c>
      <c r="Q442" s="595">
        <f t="shared" si="7"/>
        <v>1</v>
      </c>
    </row>
    <row r="443" spans="1:17" ht="54.75" customHeight="1" outlineLevel="2">
      <c r="A443" s="51" t="s">
        <v>884</v>
      </c>
      <c r="B443" s="48" t="s">
        <v>514</v>
      </c>
      <c r="C443" s="48" t="s">
        <v>251</v>
      </c>
      <c r="D443" s="48" t="s">
        <v>390</v>
      </c>
      <c r="E443" s="48" t="s">
        <v>770</v>
      </c>
      <c r="F443" s="48" t="s">
        <v>478</v>
      </c>
      <c r="G443" s="48" t="s">
        <v>528</v>
      </c>
      <c r="H443" s="48" t="s">
        <v>770</v>
      </c>
      <c r="I443" s="48" t="s">
        <v>478</v>
      </c>
      <c r="J443" s="48" t="s">
        <v>770</v>
      </c>
      <c r="K443" s="48" t="s">
        <v>528</v>
      </c>
      <c r="L443" s="48" t="s">
        <v>369</v>
      </c>
      <c r="M443" s="135"/>
      <c r="N443" s="369">
        <f>N444+N445</f>
        <v>4368.96</v>
      </c>
      <c r="O443" s="369">
        <f>O444+O445</f>
        <v>2614.87</v>
      </c>
      <c r="P443" s="369">
        <f>P444+P445</f>
        <v>2614.87</v>
      </c>
      <c r="Q443" s="595">
        <f t="shared" si="7"/>
        <v>1</v>
      </c>
    </row>
    <row r="444" spans="1:17" ht="75" outlineLevel="2">
      <c r="A444" s="51" t="s">
        <v>800</v>
      </c>
      <c r="B444" s="48" t="s">
        <v>514</v>
      </c>
      <c r="C444" s="48" t="s">
        <v>251</v>
      </c>
      <c r="D444" s="48" t="s">
        <v>390</v>
      </c>
      <c r="E444" s="48" t="s">
        <v>770</v>
      </c>
      <c r="F444" s="48" t="s">
        <v>478</v>
      </c>
      <c r="G444" s="48" t="s">
        <v>528</v>
      </c>
      <c r="H444" s="48" t="s">
        <v>770</v>
      </c>
      <c r="I444" s="48" t="s">
        <v>478</v>
      </c>
      <c r="J444" s="48" t="s">
        <v>770</v>
      </c>
      <c r="K444" s="48" t="s">
        <v>528</v>
      </c>
      <c r="L444" s="48" t="s">
        <v>773</v>
      </c>
      <c r="M444" s="48"/>
      <c r="N444" s="49">
        <v>2442.86</v>
      </c>
      <c r="O444" s="49">
        <v>2226.14</v>
      </c>
      <c r="P444" s="49">
        <v>2226.14</v>
      </c>
      <c r="Q444" s="595">
        <f t="shared" si="7"/>
        <v>1</v>
      </c>
    </row>
    <row r="445" spans="1:17" ht="31.5" outlineLevel="2">
      <c r="A445" s="125" t="s">
        <v>777</v>
      </c>
      <c r="B445" s="48" t="s">
        <v>514</v>
      </c>
      <c r="C445" s="48" t="s">
        <v>251</v>
      </c>
      <c r="D445" s="48" t="s">
        <v>390</v>
      </c>
      <c r="E445" s="48" t="s">
        <v>770</v>
      </c>
      <c r="F445" s="48" t="s">
        <v>478</v>
      </c>
      <c r="G445" s="48" t="s">
        <v>528</v>
      </c>
      <c r="H445" s="48" t="s">
        <v>770</v>
      </c>
      <c r="I445" s="48" t="s">
        <v>478</v>
      </c>
      <c r="J445" s="48" t="s">
        <v>770</v>
      </c>
      <c r="K445" s="48" t="s">
        <v>528</v>
      </c>
      <c r="L445" s="48" t="s">
        <v>778</v>
      </c>
      <c r="M445" s="48" t="s">
        <v>636</v>
      </c>
      <c r="N445" s="49">
        <v>1926.1</v>
      </c>
      <c r="O445" s="49">
        <v>388.73</v>
      </c>
      <c r="P445" s="49">
        <v>388.73</v>
      </c>
      <c r="Q445" s="595">
        <f t="shared" si="7"/>
        <v>1</v>
      </c>
    </row>
    <row r="446" spans="1:17" ht="45" outlineLevel="2">
      <c r="A446" s="51" t="s">
        <v>885</v>
      </c>
      <c r="B446" s="48" t="s">
        <v>514</v>
      </c>
      <c r="C446" s="48" t="s">
        <v>251</v>
      </c>
      <c r="D446" s="48" t="s">
        <v>390</v>
      </c>
      <c r="E446" s="48" t="s">
        <v>770</v>
      </c>
      <c r="F446" s="48" t="s">
        <v>478</v>
      </c>
      <c r="G446" s="48" t="s">
        <v>528</v>
      </c>
      <c r="H446" s="48" t="s">
        <v>770</v>
      </c>
      <c r="I446" s="48" t="s">
        <v>478</v>
      </c>
      <c r="J446" s="48" t="s">
        <v>770</v>
      </c>
      <c r="K446" s="48" t="s">
        <v>478</v>
      </c>
      <c r="L446" s="48" t="s">
        <v>369</v>
      </c>
      <c r="M446" s="48"/>
      <c r="N446" s="49">
        <f>N447</f>
        <v>12070</v>
      </c>
      <c r="O446" s="49">
        <f>O447</f>
        <v>1777.66</v>
      </c>
      <c r="P446" s="49">
        <f>P447</f>
        <v>1777.66</v>
      </c>
      <c r="Q446" s="595">
        <f t="shared" si="7"/>
        <v>1</v>
      </c>
    </row>
    <row r="447" spans="1:17" ht="31.5" outlineLevel="2">
      <c r="A447" s="125" t="s">
        <v>777</v>
      </c>
      <c r="B447" s="48" t="s">
        <v>514</v>
      </c>
      <c r="C447" s="48" t="s">
        <v>251</v>
      </c>
      <c r="D447" s="48" t="s">
        <v>390</v>
      </c>
      <c r="E447" s="48" t="s">
        <v>770</v>
      </c>
      <c r="F447" s="48" t="s">
        <v>478</v>
      </c>
      <c r="G447" s="48" t="s">
        <v>528</v>
      </c>
      <c r="H447" s="48" t="s">
        <v>770</v>
      </c>
      <c r="I447" s="48" t="s">
        <v>478</v>
      </c>
      <c r="J447" s="48" t="s">
        <v>770</v>
      </c>
      <c r="K447" s="48" t="s">
        <v>478</v>
      </c>
      <c r="L447" s="48" t="s">
        <v>778</v>
      </c>
      <c r="M447" s="48"/>
      <c r="N447" s="49">
        <f>12070-1000+1000</f>
        <v>12070</v>
      </c>
      <c r="O447" s="49">
        <v>1777.66</v>
      </c>
      <c r="P447" s="49">
        <v>1777.66</v>
      </c>
      <c r="Q447" s="595">
        <f t="shared" si="7"/>
        <v>1</v>
      </c>
    </row>
    <row r="448" spans="1:17" ht="30" outlineLevel="2">
      <c r="A448" s="51" t="s">
        <v>886</v>
      </c>
      <c r="B448" s="48" t="s">
        <v>514</v>
      </c>
      <c r="C448" s="48" t="s">
        <v>251</v>
      </c>
      <c r="D448" s="48" t="s">
        <v>390</v>
      </c>
      <c r="E448" s="48" t="s">
        <v>770</v>
      </c>
      <c r="F448" s="48" t="s">
        <v>478</v>
      </c>
      <c r="G448" s="48" t="s">
        <v>480</v>
      </c>
      <c r="H448" s="48" t="s">
        <v>770</v>
      </c>
      <c r="I448" s="48" t="s">
        <v>478</v>
      </c>
      <c r="J448" s="48" t="s">
        <v>770</v>
      </c>
      <c r="K448" s="48" t="s">
        <v>480</v>
      </c>
      <c r="L448" s="48" t="s">
        <v>369</v>
      </c>
      <c r="M448" s="135"/>
      <c r="N448" s="356">
        <f>N449</f>
        <v>800</v>
      </c>
      <c r="O448" s="356">
        <f>O449</f>
        <v>939.33</v>
      </c>
      <c r="P448" s="356">
        <f>P449</f>
        <v>939.33</v>
      </c>
      <c r="Q448" s="595">
        <f t="shared" si="7"/>
        <v>1</v>
      </c>
    </row>
    <row r="449" spans="1:17" ht="31.5" outlineLevel="2">
      <c r="A449" s="125" t="s">
        <v>777</v>
      </c>
      <c r="B449" s="48" t="s">
        <v>514</v>
      </c>
      <c r="C449" s="48" t="s">
        <v>251</v>
      </c>
      <c r="D449" s="48" t="s">
        <v>390</v>
      </c>
      <c r="E449" s="48" t="s">
        <v>770</v>
      </c>
      <c r="F449" s="48" t="s">
        <v>478</v>
      </c>
      <c r="G449" s="48" t="s">
        <v>480</v>
      </c>
      <c r="H449" s="48" t="s">
        <v>770</v>
      </c>
      <c r="I449" s="48" t="s">
        <v>478</v>
      </c>
      <c r="J449" s="48" t="s">
        <v>770</v>
      </c>
      <c r="K449" s="48" t="s">
        <v>480</v>
      </c>
      <c r="L449" s="48" t="s">
        <v>434</v>
      </c>
      <c r="M449" s="135"/>
      <c r="N449" s="356">
        <v>800</v>
      </c>
      <c r="O449" s="356">
        <v>939.33</v>
      </c>
      <c r="P449" s="356">
        <v>939.33</v>
      </c>
      <c r="Q449" s="595">
        <f t="shared" si="7"/>
        <v>1</v>
      </c>
    </row>
    <row r="450" spans="1:17" s="370" customFormat="1" ht="35.25" customHeight="1">
      <c r="A450" s="388" t="s">
        <v>887</v>
      </c>
      <c r="B450" s="389" t="s">
        <v>514</v>
      </c>
      <c r="C450" s="389"/>
      <c r="D450" s="389"/>
      <c r="E450" s="389"/>
      <c r="F450" s="389"/>
      <c r="G450" s="389"/>
      <c r="H450" s="389"/>
      <c r="I450" s="389"/>
      <c r="J450" s="389"/>
      <c r="K450" s="389"/>
      <c r="L450" s="389"/>
      <c r="M450" s="389"/>
      <c r="N450" s="390">
        <f>N451</f>
        <v>3527.92</v>
      </c>
      <c r="O450" s="390">
        <f>O451+O469</f>
        <v>4162.05</v>
      </c>
      <c r="P450" s="390">
        <f>P451+P469</f>
        <v>4162.05</v>
      </c>
      <c r="Q450" s="595">
        <f t="shared" si="7"/>
        <v>1</v>
      </c>
    </row>
    <row r="451" spans="1:17" s="370" customFormat="1" ht="33" customHeight="1">
      <c r="A451" s="352" t="s">
        <v>888</v>
      </c>
      <c r="B451" s="379" t="s">
        <v>514</v>
      </c>
      <c r="C451" s="379" t="s">
        <v>388</v>
      </c>
      <c r="D451" s="379" t="s">
        <v>382</v>
      </c>
      <c r="E451" s="379"/>
      <c r="F451" s="379"/>
      <c r="G451" s="379"/>
      <c r="H451" s="379"/>
      <c r="I451" s="379"/>
      <c r="J451" s="379"/>
      <c r="K451" s="379"/>
      <c r="L451" s="379" t="s">
        <v>369</v>
      </c>
      <c r="M451" s="379"/>
      <c r="N451" s="372">
        <f>N452</f>
        <v>3527.92</v>
      </c>
      <c r="O451" s="372">
        <f>O452+O467+O468</f>
        <v>4110.49</v>
      </c>
      <c r="P451" s="372">
        <f>P452+P467+P468</f>
        <v>4110.49</v>
      </c>
      <c r="Q451" s="595">
        <f t="shared" si="7"/>
        <v>1</v>
      </c>
    </row>
    <row r="452" spans="1:17" s="66" customFormat="1" ht="31.5" customHeight="1">
      <c r="A452" s="51" t="s">
        <v>889</v>
      </c>
      <c r="B452" s="73" t="s">
        <v>514</v>
      </c>
      <c r="C452" s="73" t="s">
        <v>388</v>
      </c>
      <c r="D452" s="73" t="s">
        <v>382</v>
      </c>
      <c r="E452" s="391" t="s">
        <v>770</v>
      </c>
      <c r="F452" s="391" t="s">
        <v>528</v>
      </c>
      <c r="G452" s="391" t="s">
        <v>478</v>
      </c>
      <c r="H452" s="391" t="s">
        <v>770</v>
      </c>
      <c r="I452" s="391" t="s">
        <v>528</v>
      </c>
      <c r="J452" s="391" t="s">
        <v>770</v>
      </c>
      <c r="K452" s="391" t="s">
        <v>528</v>
      </c>
      <c r="L452" s="73" t="s">
        <v>369</v>
      </c>
      <c r="M452" s="73"/>
      <c r="N452" s="371">
        <f>N453+N457</f>
        <v>3527.92</v>
      </c>
      <c r="O452" s="371">
        <f>O453+O457</f>
        <v>4010.09</v>
      </c>
      <c r="P452" s="371">
        <f>P453+P457</f>
        <v>4010.09</v>
      </c>
      <c r="Q452" s="595">
        <f t="shared" si="7"/>
        <v>1</v>
      </c>
    </row>
    <row r="453" spans="1:17" s="66" customFormat="1" ht="35.25" customHeight="1">
      <c r="A453" s="51" t="s">
        <v>800</v>
      </c>
      <c r="B453" s="73" t="s">
        <v>514</v>
      </c>
      <c r="C453" s="73" t="s">
        <v>388</v>
      </c>
      <c r="D453" s="73" t="s">
        <v>382</v>
      </c>
      <c r="E453" s="391" t="s">
        <v>770</v>
      </c>
      <c r="F453" s="391" t="s">
        <v>528</v>
      </c>
      <c r="G453" s="391" t="s">
        <v>478</v>
      </c>
      <c r="H453" s="391" t="s">
        <v>770</v>
      </c>
      <c r="I453" s="391" t="s">
        <v>528</v>
      </c>
      <c r="J453" s="391" t="s">
        <v>770</v>
      </c>
      <c r="K453" s="391" t="s">
        <v>528</v>
      </c>
      <c r="L453" s="73" t="s">
        <v>773</v>
      </c>
      <c r="M453" s="73"/>
      <c r="N453" s="371">
        <v>2992.44</v>
      </c>
      <c r="O453" s="371">
        <v>3050.54</v>
      </c>
      <c r="P453" s="371">
        <v>3050.54</v>
      </c>
      <c r="Q453" s="595">
        <f t="shared" si="7"/>
        <v>1</v>
      </c>
    </row>
    <row r="454" spans="1:17" s="66" customFormat="1" ht="35.25" customHeight="1" hidden="1">
      <c r="A454" s="51" t="s">
        <v>774</v>
      </c>
      <c r="B454" s="73" t="s">
        <v>514</v>
      </c>
      <c r="C454" s="73" t="s">
        <v>388</v>
      </c>
      <c r="D454" s="73" t="s">
        <v>382</v>
      </c>
      <c r="E454" s="391"/>
      <c r="F454" s="391"/>
      <c r="G454" s="391"/>
      <c r="H454" s="391"/>
      <c r="I454" s="391"/>
      <c r="J454" s="391"/>
      <c r="K454" s="391"/>
      <c r="L454" s="73" t="s">
        <v>735</v>
      </c>
      <c r="M454" s="73" t="s">
        <v>636</v>
      </c>
      <c r="N454" s="371">
        <v>2282.98</v>
      </c>
      <c r="O454" s="371">
        <v>2282.98</v>
      </c>
      <c r="P454" s="371"/>
      <c r="Q454" s="595">
        <f t="shared" si="7"/>
        <v>0</v>
      </c>
    </row>
    <row r="455" spans="1:17" s="66" customFormat="1" ht="35.25" customHeight="1" hidden="1">
      <c r="A455" s="51" t="s">
        <v>776</v>
      </c>
      <c r="B455" s="73" t="s">
        <v>514</v>
      </c>
      <c r="C455" s="73" t="s">
        <v>388</v>
      </c>
      <c r="D455" s="73" t="s">
        <v>382</v>
      </c>
      <c r="E455" s="391"/>
      <c r="F455" s="391"/>
      <c r="G455" s="391"/>
      <c r="H455" s="391"/>
      <c r="I455" s="391"/>
      <c r="J455" s="391"/>
      <c r="K455" s="391"/>
      <c r="L455" s="73" t="s">
        <v>676</v>
      </c>
      <c r="M455" s="73" t="s">
        <v>660</v>
      </c>
      <c r="N455" s="371">
        <v>20</v>
      </c>
      <c r="O455" s="371">
        <v>20</v>
      </c>
      <c r="P455" s="371"/>
      <c r="Q455" s="595">
        <f t="shared" si="7"/>
        <v>0</v>
      </c>
    </row>
    <row r="456" spans="1:17" s="66" customFormat="1" ht="35.25" customHeight="1" hidden="1">
      <c r="A456" s="51" t="s">
        <v>775</v>
      </c>
      <c r="B456" s="73" t="s">
        <v>514</v>
      </c>
      <c r="C456" s="73" t="s">
        <v>388</v>
      </c>
      <c r="D456" s="73" t="s">
        <v>382</v>
      </c>
      <c r="E456" s="391"/>
      <c r="F456" s="391"/>
      <c r="G456" s="391"/>
      <c r="H456" s="391"/>
      <c r="I456" s="391"/>
      <c r="J456" s="391"/>
      <c r="K456" s="391"/>
      <c r="L456" s="73" t="s">
        <v>735</v>
      </c>
      <c r="M456" s="73" t="s">
        <v>637</v>
      </c>
      <c r="N456" s="371">
        <v>689.46</v>
      </c>
      <c r="O456" s="371">
        <v>689.46</v>
      </c>
      <c r="P456" s="371"/>
      <c r="Q456" s="595">
        <f t="shared" si="7"/>
        <v>0</v>
      </c>
    </row>
    <row r="457" spans="1:17" s="66" customFormat="1" ht="35.25" customHeight="1">
      <c r="A457" s="51" t="s">
        <v>777</v>
      </c>
      <c r="B457" s="73" t="s">
        <v>514</v>
      </c>
      <c r="C457" s="73" t="s">
        <v>388</v>
      </c>
      <c r="D457" s="73" t="s">
        <v>382</v>
      </c>
      <c r="E457" s="391" t="s">
        <v>770</v>
      </c>
      <c r="F457" s="391" t="s">
        <v>528</v>
      </c>
      <c r="G457" s="391" t="s">
        <v>478</v>
      </c>
      <c r="H457" s="391" t="s">
        <v>770</v>
      </c>
      <c r="I457" s="391" t="s">
        <v>528</v>
      </c>
      <c r="J457" s="391" t="s">
        <v>770</v>
      </c>
      <c r="K457" s="391" t="s">
        <v>478</v>
      </c>
      <c r="L457" s="73" t="s">
        <v>778</v>
      </c>
      <c r="M457" s="73"/>
      <c r="N457" s="371">
        <v>535.48</v>
      </c>
      <c r="O457" s="371">
        <v>959.55</v>
      </c>
      <c r="P457" s="371">
        <v>959.55</v>
      </c>
      <c r="Q457" s="595">
        <f t="shared" si="7"/>
        <v>1</v>
      </c>
    </row>
    <row r="458" spans="1:17" s="66" customFormat="1" ht="35.25" customHeight="1" hidden="1">
      <c r="A458" s="51" t="s">
        <v>779</v>
      </c>
      <c r="B458" s="73" t="s">
        <v>514</v>
      </c>
      <c r="C458" s="73" t="s">
        <v>388</v>
      </c>
      <c r="D458" s="73" t="s">
        <v>382</v>
      </c>
      <c r="E458" s="73"/>
      <c r="F458" s="73"/>
      <c r="G458" s="73"/>
      <c r="H458" s="73"/>
      <c r="I458" s="73"/>
      <c r="J458" s="73"/>
      <c r="K458" s="73"/>
      <c r="L458" s="73" t="s">
        <v>639</v>
      </c>
      <c r="M458" s="73" t="s">
        <v>640</v>
      </c>
      <c r="N458" s="371">
        <v>16.8</v>
      </c>
      <c r="O458" s="371">
        <v>16.8</v>
      </c>
      <c r="P458" s="371"/>
      <c r="Q458" s="595">
        <f t="shared" si="7"/>
        <v>0</v>
      </c>
    </row>
    <row r="459" spans="1:17" s="66" customFormat="1" ht="35.25" customHeight="1" hidden="1">
      <c r="A459" s="51" t="s">
        <v>780</v>
      </c>
      <c r="B459" s="73" t="s">
        <v>514</v>
      </c>
      <c r="C459" s="73" t="s">
        <v>388</v>
      </c>
      <c r="D459" s="73" t="s">
        <v>382</v>
      </c>
      <c r="E459" s="73"/>
      <c r="F459" s="73"/>
      <c r="G459" s="73"/>
      <c r="H459" s="73"/>
      <c r="I459" s="73"/>
      <c r="J459" s="73"/>
      <c r="K459" s="73"/>
      <c r="L459" s="73" t="s">
        <v>639</v>
      </c>
      <c r="M459" s="73" t="s">
        <v>641</v>
      </c>
      <c r="N459" s="371"/>
      <c r="O459" s="371"/>
      <c r="P459" s="371"/>
      <c r="Q459" s="595" t="e">
        <f t="shared" si="7"/>
        <v>#DIV/0!</v>
      </c>
    </row>
    <row r="460" spans="1:17" s="66" customFormat="1" ht="35.25" customHeight="1" hidden="1">
      <c r="A460" s="51" t="s">
        <v>781</v>
      </c>
      <c r="B460" s="73" t="s">
        <v>514</v>
      </c>
      <c r="C460" s="73" t="s">
        <v>388</v>
      </c>
      <c r="D460" s="73" t="s">
        <v>382</v>
      </c>
      <c r="E460" s="73"/>
      <c r="F460" s="73"/>
      <c r="G460" s="73"/>
      <c r="H460" s="73"/>
      <c r="I460" s="73"/>
      <c r="J460" s="73"/>
      <c r="K460" s="73"/>
      <c r="L460" s="73" t="s">
        <v>639</v>
      </c>
      <c r="M460" s="73" t="s">
        <v>642</v>
      </c>
      <c r="N460" s="371">
        <v>337.48</v>
      </c>
      <c r="O460" s="371">
        <v>337.48</v>
      </c>
      <c r="P460" s="371"/>
      <c r="Q460" s="595">
        <f aca="true" t="shared" si="8" ref="Q460:Q523">P460/O460</f>
        <v>0</v>
      </c>
    </row>
    <row r="461" spans="1:17" s="66" customFormat="1" ht="35.25" customHeight="1" hidden="1">
      <c r="A461" s="51" t="s">
        <v>782</v>
      </c>
      <c r="B461" s="73" t="s">
        <v>514</v>
      </c>
      <c r="C461" s="73" t="s">
        <v>388</v>
      </c>
      <c r="D461" s="73" t="s">
        <v>382</v>
      </c>
      <c r="E461" s="73"/>
      <c r="F461" s="73"/>
      <c r="G461" s="73"/>
      <c r="H461" s="73"/>
      <c r="I461" s="73"/>
      <c r="J461" s="73"/>
      <c r="K461" s="73"/>
      <c r="L461" s="73" t="s">
        <v>639</v>
      </c>
      <c r="M461" s="73" t="s">
        <v>643</v>
      </c>
      <c r="N461" s="371"/>
      <c r="O461" s="371"/>
      <c r="P461" s="371"/>
      <c r="Q461" s="595" t="e">
        <f t="shared" si="8"/>
        <v>#DIV/0!</v>
      </c>
    </row>
    <row r="462" spans="1:17" s="66" customFormat="1" ht="35.25" customHeight="1" hidden="1">
      <c r="A462" s="51" t="s">
        <v>783</v>
      </c>
      <c r="B462" s="73" t="s">
        <v>514</v>
      </c>
      <c r="C462" s="73" t="s">
        <v>388</v>
      </c>
      <c r="D462" s="73" t="s">
        <v>382</v>
      </c>
      <c r="E462" s="73"/>
      <c r="F462" s="73"/>
      <c r="G462" s="73"/>
      <c r="H462" s="73"/>
      <c r="I462" s="73"/>
      <c r="J462" s="73"/>
      <c r="K462" s="73"/>
      <c r="L462" s="73" t="s">
        <v>639</v>
      </c>
      <c r="M462" s="73" t="s">
        <v>644</v>
      </c>
      <c r="N462" s="371">
        <v>27.9</v>
      </c>
      <c r="O462" s="371">
        <v>27.9</v>
      </c>
      <c r="P462" s="371"/>
      <c r="Q462" s="595">
        <f t="shared" si="8"/>
        <v>0</v>
      </c>
    </row>
    <row r="463" spans="1:17" s="66" customFormat="1" ht="35.25" customHeight="1" hidden="1">
      <c r="A463" s="51" t="s">
        <v>784</v>
      </c>
      <c r="B463" s="73" t="s">
        <v>514</v>
      </c>
      <c r="C463" s="73" t="s">
        <v>388</v>
      </c>
      <c r="D463" s="73" t="s">
        <v>382</v>
      </c>
      <c r="E463" s="73"/>
      <c r="F463" s="73"/>
      <c r="G463" s="73"/>
      <c r="H463" s="73"/>
      <c r="I463" s="73"/>
      <c r="J463" s="73"/>
      <c r="K463" s="73"/>
      <c r="L463" s="73" t="s">
        <v>639</v>
      </c>
      <c r="M463" s="73" t="s">
        <v>645</v>
      </c>
      <c r="N463" s="371">
        <v>58</v>
      </c>
      <c r="O463" s="371">
        <v>58</v>
      </c>
      <c r="P463" s="371"/>
      <c r="Q463" s="595">
        <f t="shared" si="8"/>
        <v>0</v>
      </c>
    </row>
    <row r="464" spans="1:17" s="66" customFormat="1" ht="35.25" customHeight="1" hidden="1">
      <c r="A464" s="51" t="s">
        <v>785</v>
      </c>
      <c r="B464" s="73" t="s">
        <v>514</v>
      </c>
      <c r="C464" s="73" t="s">
        <v>388</v>
      </c>
      <c r="D464" s="73" t="s">
        <v>382</v>
      </c>
      <c r="E464" s="73"/>
      <c r="F464" s="73"/>
      <c r="G464" s="73"/>
      <c r="H464" s="73"/>
      <c r="I464" s="73"/>
      <c r="J464" s="73"/>
      <c r="K464" s="73"/>
      <c r="L464" s="73" t="s">
        <v>639</v>
      </c>
      <c r="M464" s="73" t="s">
        <v>646</v>
      </c>
      <c r="N464" s="371">
        <v>20.3</v>
      </c>
      <c r="O464" s="371">
        <v>20.3</v>
      </c>
      <c r="P464" s="371"/>
      <c r="Q464" s="595">
        <f t="shared" si="8"/>
        <v>0</v>
      </c>
    </row>
    <row r="465" spans="1:17" s="66" customFormat="1" ht="35.25" customHeight="1" hidden="1">
      <c r="A465" s="51" t="s">
        <v>786</v>
      </c>
      <c r="B465" s="73" t="s">
        <v>514</v>
      </c>
      <c r="C465" s="73" t="s">
        <v>388</v>
      </c>
      <c r="D465" s="73" t="s">
        <v>382</v>
      </c>
      <c r="E465" s="73"/>
      <c r="F465" s="73"/>
      <c r="G465" s="73"/>
      <c r="H465" s="73"/>
      <c r="I465" s="73"/>
      <c r="J465" s="73"/>
      <c r="K465" s="73"/>
      <c r="L465" s="73" t="s">
        <v>639</v>
      </c>
      <c r="M465" s="73" t="s">
        <v>647</v>
      </c>
      <c r="N465" s="371">
        <v>37</v>
      </c>
      <c r="O465" s="371">
        <v>37</v>
      </c>
      <c r="P465" s="371"/>
      <c r="Q465" s="595">
        <f t="shared" si="8"/>
        <v>0</v>
      </c>
    </row>
    <row r="466" spans="1:17" s="66" customFormat="1" ht="35.25" customHeight="1" hidden="1">
      <c r="A466" s="51" t="s">
        <v>787</v>
      </c>
      <c r="B466" s="73" t="s">
        <v>514</v>
      </c>
      <c r="C466" s="73" t="s">
        <v>388</v>
      </c>
      <c r="D466" s="73" t="s">
        <v>382</v>
      </c>
      <c r="E466" s="73"/>
      <c r="F466" s="73"/>
      <c r="G466" s="73"/>
      <c r="H466" s="73"/>
      <c r="I466" s="73"/>
      <c r="J466" s="73"/>
      <c r="K466" s="73"/>
      <c r="L466" s="73" t="s">
        <v>639</v>
      </c>
      <c r="M466" s="73" t="s">
        <v>648</v>
      </c>
      <c r="N466" s="371">
        <v>38</v>
      </c>
      <c r="O466" s="371">
        <v>38</v>
      </c>
      <c r="P466" s="371"/>
      <c r="Q466" s="595">
        <f t="shared" si="8"/>
        <v>0</v>
      </c>
    </row>
    <row r="467" spans="1:17" s="66" customFormat="1" ht="35.25" customHeight="1">
      <c r="A467" s="51" t="s">
        <v>889</v>
      </c>
      <c r="B467" s="73" t="s">
        <v>514</v>
      </c>
      <c r="C467" s="73" t="s">
        <v>388</v>
      </c>
      <c r="D467" s="73" t="s">
        <v>388</v>
      </c>
      <c r="E467" s="73" t="s">
        <v>770</v>
      </c>
      <c r="F467" s="73" t="s">
        <v>528</v>
      </c>
      <c r="G467" s="73" t="s">
        <v>479</v>
      </c>
      <c r="H467" s="73" t="s">
        <v>770</v>
      </c>
      <c r="I467" s="73" t="s">
        <v>528</v>
      </c>
      <c r="J467" s="73" t="s">
        <v>770</v>
      </c>
      <c r="K467" s="73" t="s">
        <v>479</v>
      </c>
      <c r="L467" s="73" t="s">
        <v>778</v>
      </c>
      <c r="M467" s="73"/>
      <c r="N467" s="371"/>
      <c r="O467" s="371">
        <v>95.4</v>
      </c>
      <c r="P467" s="371">
        <v>95.4</v>
      </c>
      <c r="Q467" s="595">
        <f t="shared" si="8"/>
        <v>1</v>
      </c>
    </row>
    <row r="468" spans="1:17" s="66" customFormat="1" ht="35.25" customHeight="1">
      <c r="A468" s="51" t="s">
        <v>866</v>
      </c>
      <c r="B468" s="73" t="s">
        <v>514</v>
      </c>
      <c r="C468" s="73" t="s">
        <v>388</v>
      </c>
      <c r="D468" s="73" t="s">
        <v>385</v>
      </c>
      <c r="E468" s="73" t="s">
        <v>770</v>
      </c>
      <c r="F468" s="73" t="s">
        <v>528</v>
      </c>
      <c r="G468" s="73" t="s">
        <v>546</v>
      </c>
      <c r="H468" s="73" t="s">
        <v>770</v>
      </c>
      <c r="I468" s="73" t="s">
        <v>528</v>
      </c>
      <c r="J468" s="73" t="s">
        <v>770</v>
      </c>
      <c r="K468" s="73" t="s">
        <v>546</v>
      </c>
      <c r="L468" s="73" t="s">
        <v>778</v>
      </c>
      <c r="M468" s="73"/>
      <c r="N468" s="371"/>
      <c r="O468" s="371">
        <v>5</v>
      </c>
      <c r="P468" s="371">
        <v>5</v>
      </c>
      <c r="Q468" s="595">
        <f t="shared" si="8"/>
        <v>1</v>
      </c>
    </row>
    <row r="469" spans="1:17" s="66" customFormat="1" ht="35.25" customHeight="1">
      <c r="A469" s="51" t="s">
        <v>1006</v>
      </c>
      <c r="B469" s="73" t="s">
        <v>514</v>
      </c>
      <c r="C469" s="73" t="s">
        <v>388</v>
      </c>
      <c r="D469" s="73" t="s">
        <v>382</v>
      </c>
      <c r="E469" s="73" t="s">
        <v>770</v>
      </c>
      <c r="F469" s="73" t="s">
        <v>528</v>
      </c>
      <c r="G469" s="73" t="s">
        <v>478</v>
      </c>
      <c r="H469" s="73" t="s">
        <v>770</v>
      </c>
      <c r="I469" s="73" t="s">
        <v>528</v>
      </c>
      <c r="J469" s="73" t="s">
        <v>770</v>
      </c>
      <c r="K469" s="73" t="s">
        <v>480</v>
      </c>
      <c r="L469" s="73" t="s">
        <v>369</v>
      </c>
      <c r="M469" s="73"/>
      <c r="N469" s="371"/>
      <c r="O469" s="371">
        <v>51.56</v>
      </c>
      <c r="P469" s="371">
        <v>51.56</v>
      </c>
      <c r="Q469" s="595">
        <f t="shared" si="8"/>
        <v>1</v>
      </c>
    </row>
    <row r="470" spans="1:17" s="370" customFormat="1" ht="35.25" customHeight="1">
      <c r="A470" s="388" t="s">
        <v>890</v>
      </c>
      <c r="B470" s="389" t="s">
        <v>514</v>
      </c>
      <c r="C470" s="389"/>
      <c r="D470" s="389"/>
      <c r="E470" s="389"/>
      <c r="F470" s="389"/>
      <c r="G470" s="389"/>
      <c r="H470" s="389"/>
      <c r="I470" s="389"/>
      <c r="J470" s="389"/>
      <c r="K470" s="389"/>
      <c r="L470" s="389"/>
      <c r="M470" s="389"/>
      <c r="N470" s="390">
        <f>N471</f>
        <v>3521.405</v>
      </c>
      <c r="O470" s="390">
        <f>O471+O480</f>
        <v>3450.49</v>
      </c>
      <c r="P470" s="390">
        <f>P471+P480</f>
        <v>3450.49</v>
      </c>
      <c r="Q470" s="595">
        <f t="shared" si="8"/>
        <v>1</v>
      </c>
    </row>
    <row r="471" spans="1:17" ht="35.25" customHeight="1">
      <c r="A471" s="378" t="s">
        <v>888</v>
      </c>
      <c r="B471" s="358" t="s">
        <v>514</v>
      </c>
      <c r="C471" s="358" t="s">
        <v>388</v>
      </c>
      <c r="D471" s="358" t="s">
        <v>382</v>
      </c>
      <c r="E471" s="358"/>
      <c r="F471" s="358"/>
      <c r="G471" s="358"/>
      <c r="H471" s="358"/>
      <c r="I471" s="358"/>
      <c r="J471" s="358"/>
      <c r="K471" s="358"/>
      <c r="L471" s="358" t="s">
        <v>369</v>
      </c>
      <c r="M471" s="72"/>
      <c r="N471" s="133">
        <f>N472</f>
        <v>3521.405</v>
      </c>
      <c r="O471" s="371">
        <f>O472+O481</f>
        <v>3435.49</v>
      </c>
      <c r="P471" s="371">
        <f>P472+P481</f>
        <v>3435.49</v>
      </c>
      <c r="Q471" s="595">
        <f t="shared" si="8"/>
        <v>1</v>
      </c>
    </row>
    <row r="472" spans="1:17" ht="35.25" customHeight="1">
      <c r="A472" s="62" t="s">
        <v>889</v>
      </c>
      <c r="B472" s="72" t="s">
        <v>514</v>
      </c>
      <c r="C472" s="72" t="s">
        <v>388</v>
      </c>
      <c r="D472" s="72" t="s">
        <v>382</v>
      </c>
      <c r="E472" s="391" t="s">
        <v>770</v>
      </c>
      <c r="F472" s="391" t="s">
        <v>528</v>
      </c>
      <c r="G472" s="391" t="s">
        <v>478</v>
      </c>
      <c r="H472" s="391" t="s">
        <v>770</v>
      </c>
      <c r="I472" s="391" t="s">
        <v>528</v>
      </c>
      <c r="J472" s="391" t="s">
        <v>770</v>
      </c>
      <c r="K472" s="391" t="s">
        <v>528</v>
      </c>
      <c r="L472" s="72" t="s">
        <v>369</v>
      </c>
      <c r="M472" s="72"/>
      <c r="N472" s="133">
        <f>N473+N474</f>
        <v>3521.405</v>
      </c>
      <c r="O472" s="371">
        <f>O473+O474</f>
        <v>3430.49</v>
      </c>
      <c r="P472" s="371">
        <f>P473+P474</f>
        <v>3430.49</v>
      </c>
      <c r="Q472" s="595">
        <f t="shared" si="8"/>
        <v>1</v>
      </c>
    </row>
    <row r="473" spans="1:17" ht="35.25" customHeight="1">
      <c r="A473" s="62" t="s">
        <v>800</v>
      </c>
      <c r="B473" s="72" t="s">
        <v>514</v>
      </c>
      <c r="C473" s="72" t="s">
        <v>388</v>
      </c>
      <c r="D473" s="72" t="s">
        <v>382</v>
      </c>
      <c r="E473" s="391" t="s">
        <v>770</v>
      </c>
      <c r="F473" s="391" t="s">
        <v>528</v>
      </c>
      <c r="G473" s="391" t="s">
        <v>478</v>
      </c>
      <c r="H473" s="391" t="s">
        <v>770</v>
      </c>
      <c r="I473" s="391" t="s">
        <v>528</v>
      </c>
      <c r="J473" s="391" t="s">
        <v>770</v>
      </c>
      <c r="K473" s="391" t="s">
        <v>528</v>
      </c>
      <c r="L473" s="72" t="s">
        <v>773</v>
      </c>
      <c r="M473" s="72"/>
      <c r="N473" s="133">
        <v>2932.51</v>
      </c>
      <c r="O473" s="371">
        <v>3034.93</v>
      </c>
      <c r="P473" s="371">
        <v>3034.93</v>
      </c>
      <c r="Q473" s="595">
        <f t="shared" si="8"/>
        <v>1</v>
      </c>
    </row>
    <row r="474" spans="1:17" ht="35.25" customHeight="1">
      <c r="A474" s="62" t="s">
        <v>777</v>
      </c>
      <c r="B474" s="72" t="s">
        <v>514</v>
      </c>
      <c r="C474" s="72" t="s">
        <v>388</v>
      </c>
      <c r="D474" s="72" t="s">
        <v>382</v>
      </c>
      <c r="E474" s="391" t="s">
        <v>770</v>
      </c>
      <c r="F474" s="391" t="s">
        <v>528</v>
      </c>
      <c r="G474" s="391" t="s">
        <v>478</v>
      </c>
      <c r="H474" s="391" t="s">
        <v>770</v>
      </c>
      <c r="I474" s="391" t="s">
        <v>528</v>
      </c>
      <c r="J474" s="391" t="s">
        <v>770</v>
      </c>
      <c r="K474" s="391" t="s">
        <v>478</v>
      </c>
      <c r="L474" s="72" t="s">
        <v>778</v>
      </c>
      <c r="M474" s="72"/>
      <c r="N474" s="133">
        <v>588.895</v>
      </c>
      <c r="O474" s="371">
        <f>389.56+6</f>
        <v>395.56</v>
      </c>
      <c r="P474" s="371">
        <f>389.56+6</f>
        <v>395.56</v>
      </c>
      <c r="Q474" s="595">
        <f t="shared" si="8"/>
        <v>1</v>
      </c>
    </row>
    <row r="475" spans="1:17" ht="35.25" customHeight="1" hidden="1">
      <c r="A475" s="62" t="s">
        <v>776</v>
      </c>
      <c r="B475" s="72" t="s">
        <v>514</v>
      </c>
      <c r="C475" s="72" t="s">
        <v>388</v>
      </c>
      <c r="D475" s="72" t="s">
        <v>382</v>
      </c>
      <c r="E475" s="391"/>
      <c r="F475" s="391"/>
      <c r="G475" s="391"/>
      <c r="H475" s="391"/>
      <c r="I475" s="391"/>
      <c r="J475" s="391"/>
      <c r="K475" s="391"/>
      <c r="L475" s="72" t="s">
        <v>676</v>
      </c>
      <c r="M475" s="72" t="s">
        <v>636</v>
      </c>
      <c r="N475" s="133">
        <v>2252.31</v>
      </c>
      <c r="O475" s="371">
        <v>2252.31</v>
      </c>
      <c r="P475" s="371"/>
      <c r="Q475" s="595">
        <f t="shared" si="8"/>
        <v>0</v>
      </c>
    </row>
    <row r="476" spans="1:17" ht="35.25" customHeight="1" hidden="1">
      <c r="A476" s="62" t="s">
        <v>775</v>
      </c>
      <c r="B476" s="72" t="s">
        <v>514</v>
      </c>
      <c r="C476" s="72" t="s">
        <v>388</v>
      </c>
      <c r="D476" s="72" t="s">
        <v>382</v>
      </c>
      <c r="E476" s="391"/>
      <c r="F476" s="391"/>
      <c r="G476" s="391"/>
      <c r="H476" s="391"/>
      <c r="I476" s="391"/>
      <c r="J476" s="391"/>
      <c r="K476" s="391"/>
      <c r="L476" s="72" t="s">
        <v>735</v>
      </c>
      <c r="M476" s="72" t="s">
        <v>660</v>
      </c>
      <c r="N476" s="133"/>
      <c r="O476" s="371"/>
      <c r="P476" s="371"/>
      <c r="Q476" s="595" t="e">
        <f t="shared" si="8"/>
        <v>#DIV/0!</v>
      </c>
    </row>
    <row r="477" spans="1:17" ht="35.25" customHeight="1" hidden="1">
      <c r="A477" s="62" t="s">
        <v>777</v>
      </c>
      <c r="B477" s="72" t="s">
        <v>514</v>
      </c>
      <c r="C477" s="72" t="s">
        <v>388</v>
      </c>
      <c r="D477" s="72" t="s">
        <v>382</v>
      </c>
      <c r="E477" s="391" t="s">
        <v>770</v>
      </c>
      <c r="F477" s="391" t="s">
        <v>528</v>
      </c>
      <c r="G477" s="391" t="s">
        <v>478</v>
      </c>
      <c r="H477" s="391" t="s">
        <v>770</v>
      </c>
      <c r="I477" s="391" t="s">
        <v>528</v>
      </c>
      <c r="J477" s="391" t="s">
        <v>770</v>
      </c>
      <c r="K477" s="391" t="s">
        <v>478</v>
      </c>
      <c r="L477" s="72" t="s">
        <v>778</v>
      </c>
      <c r="M477" s="72" t="s">
        <v>637</v>
      </c>
      <c r="N477" s="133">
        <v>680.2</v>
      </c>
      <c r="O477" s="371">
        <v>680.2</v>
      </c>
      <c r="P477" s="371"/>
      <c r="Q477" s="595">
        <f t="shared" si="8"/>
        <v>0</v>
      </c>
    </row>
    <row r="478" spans="1:17" ht="35.25" customHeight="1" hidden="1">
      <c r="A478" s="392"/>
      <c r="B478" s="393"/>
      <c r="C478" s="393"/>
      <c r="D478" s="393"/>
      <c r="E478" s="394"/>
      <c r="F478" s="394"/>
      <c r="G478" s="394"/>
      <c r="H478" s="394"/>
      <c r="I478" s="394"/>
      <c r="J478" s="394"/>
      <c r="K478" s="394"/>
      <c r="L478" s="393"/>
      <c r="M478" s="393"/>
      <c r="N478" s="395"/>
      <c r="O478" s="371"/>
      <c r="P478" s="371"/>
      <c r="Q478" s="595" t="e">
        <f t="shared" si="8"/>
        <v>#DIV/0!</v>
      </c>
    </row>
    <row r="479" spans="1:17" ht="35.25" customHeight="1" hidden="1">
      <c r="A479" s="392"/>
      <c r="B479" s="393"/>
      <c r="C479" s="393"/>
      <c r="D479" s="393"/>
      <c r="E479" s="394"/>
      <c r="F479" s="394"/>
      <c r="G479" s="394"/>
      <c r="H479" s="394"/>
      <c r="I479" s="394"/>
      <c r="J479" s="394"/>
      <c r="K479" s="394"/>
      <c r="L479" s="393"/>
      <c r="M479" s="393"/>
      <c r="N479" s="395"/>
      <c r="O479" s="371"/>
      <c r="P479" s="371"/>
      <c r="Q479" s="595" t="e">
        <f t="shared" si="8"/>
        <v>#DIV/0!</v>
      </c>
    </row>
    <row r="480" spans="1:17" ht="35.25" customHeight="1">
      <c r="A480" s="51" t="s">
        <v>952</v>
      </c>
      <c r="B480" s="73" t="s">
        <v>514</v>
      </c>
      <c r="C480" s="73" t="s">
        <v>388</v>
      </c>
      <c r="D480" s="73" t="s">
        <v>382</v>
      </c>
      <c r="E480" s="391" t="s">
        <v>552</v>
      </c>
      <c r="F480" s="391" t="s">
        <v>552</v>
      </c>
      <c r="G480" s="391" t="s">
        <v>528</v>
      </c>
      <c r="H480" s="391" t="s">
        <v>552</v>
      </c>
      <c r="I480" s="391" t="s">
        <v>770</v>
      </c>
      <c r="J480" s="391" t="s">
        <v>770</v>
      </c>
      <c r="K480" s="391" t="s">
        <v>528</v>
      </c>
      <c r="L480" s="73" t="s">
        <v>778</v>
      </c>
      <c r="M480" s="73"/>
      <c r="N480" s="371">
        <v>0</v>
      </c>
      <c r="O480" s="371">
        <v>15</v>
      </c>
      <c r="P480" s="371">
        <v>15</v>
      </c>
      <c r="Q480" s="595">
        <f t="shared" si="8"/>
        <v>1</v>
      </c>
    </row>
    <row r="481" spans="1:17" ht="35.25" customHeight="1">
      <c r="A481" s="51" t="s">
        <v>866</v>
      </c>
      <c r="B481" s="73" t="s">
        <v>514</v>
      </c>
      <c r="C481" s="73" t="s">
        <v>388</v>
      </c>
      <c r="D481" s="73" t="s">
        <v>385</v>
      </c>
      <c r="E481" s="73" t="s">
        <v>770</v>
      </c>
      <c r="F481" s="73" t="s">
        <v>528</v>
      </c>
      <c r="G481" s="73" t="s">
        <v>546</v>
      </c>
      <c r="H481" s="73" t="s">
        <v>770</v>
      </c>
      <c r="I481" s="73" t="s">
        <v>528</v>
      </c>
      <c r="J481" s="73" t="s">
        <v>770</v>
      </c>
      <c r="K481" s="73" t="s">
        <v>546</v>
      </c>
      <c r="L481" s="73" t="s">
        <v>778</v>
      </c>
      <c r="M481" s="73"/>
      <c r="N481" s="371"/>
      <c r="O481" s="371">
        <v>5</v>
      </c>
      <c r="P481" s="371">
        <v>5</v>
      </c>
      <c r="Q481" s="595">
        <f t="shared" si="8"/>
        <v>1</v>
      </c>
    </row>
    <row r="482" spans="1:17" s="397" customFormat="1" ht="21" customHeight="1" outlineLevel="1">
      <c r="A482" s="415" t="s">
        <v>891</v>
      </c>
      <c r="B482" s="416" t="s">
        <v>514</v>
      </c>
      <c r="C482" s="416"/>
      <c r="D482" s="416"/>
      <c r="E482" s="416"/>
      <c r="F482" s="416"/>
      <c r="G482" s="416"/>
      <c r="H482" s="416"/>
      <c r="I482" s="416"/>
      <c r="J482" s="416"/>
      <c r="K482" s="416"/>
      <c r="L482" s="416"/>
      <c r="M482" s="416"/>
      <c r="N482" s="396">
        <f>N486+N490+N504+N510+N513+N516+N518+N520</f>
        <v>5699.900000000001</v>
      </c>
      <c r="O482" s="396">
        <f>O483</f>
        <v>6601.07</v>
      </c>
      <c r="P482" s="396">
        <f>P483</f>
        <v>6601.07</v>
      </c>
      <c r="Q482" s="595">
        <f t="shared" si="8"/>
        <v>1</v>
      </c>
    </row>
    <row r="483" spans="1:17" ht="16.5" outlineLevel="1">
      <c r="A483" s="125" t="s">
        <v>509</v>
      </c>
      <c r="B483" s="391" t="s">
        <v>514</v>
      </c>
      <c r="C483" s="391" t="s">
        <v>388</v>
      </c>
      <c r="D483" s="391"/>
      <c r="E483" s="391"/>
      <c r="F483" s="391"/>
      <c r="G483" s="391"/>
      <c r="H483" s="391"/>
      <c r="I483" s="391"/>
      <c r="J483" s="391"/>
      <c r="K483" s="391"/>
      <c r="L483" s="391"/>
      <c r="M483" s="391"/>
      <c r="N483" s="417">
        <v>5571.2300000000005</v>
      </c>
      <c r="O483" s="417">
        <f>O484</f>
        <v>6601.07</v>
      </c>
      <c r="P483" s="417">
        <f>P484</f>
        <v>6601.07</v>
      </c>
      <c r="Q483" s="595">
        <f t="shared" si="8"/>
        <v>1</v>
      </c>
    </row>
    <row r="484" spans="1:17" ht="16.5" outlineLevel="1">
      <c r="A484" s="125" t="s">
        <v>512</v>
      </c>
      <c r="B484" s="391" t="s">
        <v>514</v>
      </c>
      <c r="C484" s="391" t="s">
        <v>388</v>
      </c>
      <c r="D484" s="391" t="s">
        <v>382</v>
      </c>
      <c r="E484" s="391"/>
      <c r="F484" s="391"/>
      <c r="G484" s="391"/>
      <c r="H484" s="391"/>
      <c r="I484" s="391"/>
      <c r="J484" s="391"/>
      <c r="K484" s="391"/>
      <c r="L484" s="391"/>
      <c r="M484" s="391"/>
      <c r="N484" s="417">
        <v>5571.2300000000005</v>
      </c>
      <c r="O484" s="417">
        <f>O486+O490+O504+O510+O513+O516+O518+O520+O524+O525</f>
        <v>6601.07</v>
      </c>
      <c r="P484" s="417">
        <f>P486+P490+P504+P510+P513+P516+P518+P520+P524+P525</f>
        <v>6601.07</v>
      </c>
      <c r="Q484" s="595">
        <f t="shared" si="8"/>
        <v>1</v>
      </c>
    </row>
    <row r="485" spans="1:17" ht="47.25" outlineLevel="1">
      <c r="A485" s="125" t="s">
        <v>892</v>
      </c>
      <c r="B485" s="391" t="s">
        <v>514</v>
      </c>
      <c r="C485" s="391" t="s">
        <v>388</v>
      </c>
      <c r="D485" s="391" t="s">
        <v>382</v>
      </c>
      <c r="E485" s="391" t="s">
        <v>770</v>
      </c>
      <c r="F485" s="391" t="s">
        <v>528</v>
      </c>
      <c r="G485" s="391"/>
      <c r="H485" s="391"/>
      <c r="I485" s="391"/>
      <c r="J485" s="391"/>
      <c r="K485" s="391"/>
      <c r="L485" s="391" t="s">
        <v>369</v>
      </c>
      <c r="M485" s="391"/>
      <c r="N485" s="417">
        <f>N486+N490</f>
        <v>751.72</v>
      </c>
      <c r="O485" s="417">
        <f>O486+O490</f>
        <v>610.12</v>
      </c>
      <c r="P485" s="417">
        <f>P486+P490</f>
        <v>610.12</v>
      </c>
      <c r="Q485" s="595">
        <f t="shared" si="8"/>
        <v>1</v>
      </c>
    </row>
    <row r="486" spans="1:17" ht="31.5" outlineLevel="1">
      <c r="A486" s="125" t="s">
        <v>850</v>
      </c>
      <c r="B486" s="391" t="s">
        <v>514</v>
      </c>
      <c r="C486" s="391" t="s">
        <v>388</v>
      </c>
      <c r="D486" s="391" t="s">
        <v>382</v>
      </c>
      <c r="E486" s="391" t="s">
        <v>770</v>
      </c>
      <c r="F486" s="391" t="s">
        <v>528</v>
      </c>
      <c r="G486" s="391" t="s">
        <v>478</v>
      </c>
      <c r="H486" s="391" t="s">
        <v>770</v>
      </c>
      <c r="I486" s="391" t="s">
        <v>528</v>
      </c>
      <c r="J486" s="391" t="s">
        <v>770</v>
      </c>
      <c r="K486" s="391" t="s">
        <v>528</v>
      </c>
      <c r="L486" s="391" t="s">
        <v>773</v>
      </c>
      <c r="M486" s="391"/>
      <c r="N486" s="417">
        <v>303.82</v>
      </c>
      <c r="O486" s="417">
        <v>359.74</v>
      </c>
      <c r="P486" s="417">
        <v>359.74</v>
      </c>
      <c r="Q486" s="595">
        <f t="shared" si="8"/>
        <v>1</v>
      </c>
    </row>
    <row r="487" spans="1:17" ht="16.5" hidden="1" outlineLevel="1">
      <c r="A487" s="125" t="s">
        <v>774</v>
      </c>
      <c r="B487" s="391" t="s">
        <v>514</v>
      </c>
      <c r="C487" s="391" t="s">
        <v>388</v>
      </c>
      <c r="D487" s="391" t="s">
        <v>382</v>
      </c>
      <c r="E487" s="391"/>
      <c r="F487" s="391"/>
      <c r="G487" s="391"/>
      <c r="H487" s="391"/>
      <c r="I487" s="391"/>
      <c r="J487" s="391"/>
      <c r="K487" s="391"/>
      <c r="L487" s="391" t="s">
        <v>735</v>
      </c>
      <c r="M487" s="391" t="s">
        <v>636</v>
      </c>
      <c r="N487" s="417">
        <v>123.46</v>
      </c>
      <c r="O487" s="417">
        <v>123.46</v>
      </c>
      <c r="P487" s="417"/>
      <c r="Q487" s="595">
        <f t="shared" si="8"/>
        <v>0</v>
      </c>
    </row>
    <row r="488" spans="1:17" ht="16.5" hidden="1" outlineLevel="1">
      <c r="A488" s="125" t="s">
        <v>776</v>
      </c>
      <c r="B488" s="391" t="s">
        <v>514</v>
      </c>
      <c r="C488" s="391" t="s">
        <v>388</v>
      </c>
      <c r="D488" s="391" t="s">
        <v>382</v>
      </c>
      <c r="E488" s="391"/>
      <c r="F488" s="391"/>
      <c r="G488" s="391"/>
      <c r="H488" s="391"/>
      <c r="I488" s="391"/>
      <c r="J488" s="391"/>
      <c r="K488" s="391"/>
      <c r="L488" s="391" t="s">
        <v>676</v>
      </c>
      <c r="M488" s="391" t="s">
        <v>660</v>
      </c>
      <c r="N488" s="417">
        <v>2.26</v>
      </c>
      <c r="O488" s="417">
        <v>2.26</v>
      </c>
      <c r="P488" s="417"/>
      <c r="Q488" s="595">
        <f t="shared" si="8"/>
        <v>0</v>
      </c>
    </row>
    <row r="489" spans="1:17" ht="16.5" hidden="1" outlineLevel="1">
      <c r="A489" s="125" t="s">
        <v>775</v>
      </c>
      <c r="B489" s="391" t="s">
        <v>514</v>
      </c>
      <c r="C489" s="391" t="s">
        <v>388</v>
      </c>
      <c r="D489" s="391" t="s">
        <v>382</v>
      </c>
      <c r="E489" s="391"/>
      <c r="F489" s="391"/>
      <c r="G489" s="391"/>
      <c r="H489" s="391"/>
      <c r="I489" s="391"/>
      <c r="J489" s="391"/>
      <c r="K489" s="391"/>
      <c r="L489" s="391" t="s">
        <v>735</v>
      </c>
      <c r="M489" s="391" t="s">
        <v>637</v>
      </c>
      <c r="N489" s="417">
        <v>37.28</v>
      </c>
      <c r="O489" s="417">
        <v>37.28</v>
      </c>
      <c r="P489" s="417"/>
      <c r="Q489" s="595">
        <f t="shared" si="8"/>
        <v>0</v>
      </c>
    </row>
    <row r="490" spans="1:17" ht="31.5" outlineLevel="1">
      <c r="A490" s="125" t="s">
        <v>777</v>
      </c>
      <c r="B490" s="391" t="s">
        <v>514</v>
      </c>
      <c r="C490" s="391" t="s">
        <v>388</v>
      </c>
      <c r="D490" s="391" t="s">
        <v>382</v>
      </c>
      <c r="E490" s="391" t="s">
        <v>770</v>
      </c>
      <c r="F490" s="391" t="s">
        <v>528</v>
      </c>
      <c r="G490" s="391" t="s">
        <v>478</v>
      </c>
      <c r="H490" s="391" t="s">
        <v>770</v>
      </c>
      <c r="I490" s="391" t="s">
        <v>528</v>
      </c>
      <c r="J490" s="391" t="s">
        <v>770</v>
      </c>
      <c r="K490" s="391" t="s">
        <v>478</v>
      </c>
      <c r="L490" s="391" t="s">
        <v>778</v>
      </c>
      <c r="M490" s="391"/>
      <c r="N490" s="417">
        <v>447.9</v>
      </c>
      <c r="O490" s="417">
        <v>250.38</v>
      </c>
      <c r="P490" s="417">
        <v>250.38</v>
      </c>
      <c r="Q490" s="595">
        <f t="shared" si="8"/>
        <v>1</v>
      </c>
    </row>
    <row r="491" spans="1:17" ht="16.5" hidden="1" outlineLevel="1">
      <c r="A491" s="125" t="s">
        <v>779</v>
      </c>
      <c r="B491" s="391" t="s">
        <v>514</v>
      </c>
      <c r="C491" s="391" t="s">
        <v>388</v>
      </c>
      <c r="D491" s="391" t="s">
        <v>382</v>
      </c>
      <c r="E491" s="391"/>
      <c r="F491" s="391"/>
      <c r="G491" s="391"/>
      <c r="H491" s="391"/>
      <c r="I491" s="391"/>
      <c r="J491" s="391"/>
      <c r="K491" s="391"/>
      <c r="L491" s="391" t="s">
        <v>639</v>
      </c>
      <c r="M491" s="391" t="s">
        <v>640</v>
      </c>
      <c r="N491" s="417">
        <v>12.2</v>
      </c>
      <c r="O491" s="417">
        <v>12.2</v>
      </c>
      <c r="P491" s="417"/>
      <c r="Q491" s="595">
        <f t="shared" si="8"/>
        <v>0</v>
      </c>
    </row>
    <row r="492" spans="1:17" ht="16.5" hidden="1" outlineLevel="1">
      <c r="A492" s="125" t="s">
        <v>780</v>
      </c>
      <c r="B492" s="391" t="s">
        <v>514</v>
      </c>
      <c r="C492" s="391" t="s">
        <v>388</v>
      </c>
      <c r="D492" s="391" t="s">
        <v>382</v>
      </c>
      <c r="E492" s="391"/>
      <c r="F492" s="391"/>
      <c r="G492" s="391"/>
      <c r="H492" s="391"/>
      <c r="I492" s="391"/>
      <c r="J492" s="391"/>
      <c r="K492" s="391"/>
      <c r="L492" s="391" t="s">
        <v>639</v>
      </c>
      <c r="M492" s="391" t="s">
        <v>641</v>
      </c>
      <c r="N492" s="417">
        <v>4</v>
      </c>
      <c r="O492" s="417">
        <v>4</v>
      </c>
      <c r="P492" s="417"/>
      <c r="Q492" s="595">
        <f t="shared" si="8"/>
        <v>0</v>
      </c>
    </row>
    <row r="493" spans="1:17" ht="16.5" hidden="1" outlineLevel="1">
      <c r="A493" s="125" t="s">
        <v>781</v>
      </c>
      <c r="B493" s="391" t="s">
        <v>514</v>
      </c>
      <c r="C493" s="391" t="s">
        <v>388</v>
      </c>
      <c r="D493" s="391" t="s">
        <v>382</v>
      </c>
      <c r="E493" s="391"/>
      <c r="F493" s="391"/>
      <c r="G493" s="391"/>
      <c r="H493" s="391"/>
      <c r="I493" s="391"/>
      <c r="J493" s="391"/>
      <c r="K493" s="391"/>
      <c r="L493" s="391" t="s">
        <v>639</v>
      </c>
      <c r="M493" s="391" t="s">
        <v>642</v>
      </c>
      <c r="N493" s="417">
        <v>84.88</v>
      </c>
      <c r="O493" s="417">
        <v>84.88</v>
      </c>
      <c r="P493" s="417"/>
      <c r="Q493" s="595">
        <f t="shared" si="8"/>
        <v>0</v>
      </c>
    </row>
    <row r="494" spans="1:17" ht="16.5" hidden="1" outlineLevel="1">
      <c r="A494" s="125" t="s">
        <v>782</v>
      </c>
      <c r="B494" s="391" t="s">
        <v>514</v>
      </c>
      <c r="C494" s="391" t="s">
        <v>388</v>
      </c>
      <c r="D494" s="391" t="s">
        <v>382</v>
      </c>
      <c r="E494" s="391"/>
      <c r="F494" s="391"/>
      <c r="G494" s="391"/>
      <c r="H494" s="391"/>
      <c r="I494" s="391"/>
      <c r="J494" s="391"/>
      <c r="K494" s="391"/>
      <c r="L494" s="391" t="s">
        <v>639</v>
      </c>
      <c r="M494" s="391" t="s">
        <v>643</v>
      </c>
      <c r="N494" s="417"/>
      <c r="O494" s="417"/>
      <c r="P494" s="417"/>
      <c r="Q494" s="595" t="e">
        <f t="shared" si="8"/>
        <v>#DIV/0!</v>
      </c>
    </row>
    <row r="495" spans="1:17" ht="16.5" hidden="1" outlineLevel="1">
      <c r="A495" s="125" t="s">
        <v>783</v>
      </c>
      <c r="B495" s="391" t="s">
        <v>514</v>
      </c>
      <c r="C495" s="391" t="s">
        <v>388</v>
      </c>
      <c r="D495" s="391" t="s">
        <v>382</v>
      </c>
      <c r="E495" s="391"/>
      <c r="F495" s="391"/>
      <c r="G495" s="391"/>
      <c r="H495" s="391"/>
      <c r="I495" s="391"/>
      <c r="J495" s="391"/>
      <c r="K495" s="391"/>
      <c r="L495" s="391" t="s">
        <v>639</v>
      </c>
      <c r="M495" s="391" t="s">
        <v>644</v>
      </c>
      <c r="N495" s="417">
        <v>50.05</v>
      </c>
      <c r="O495" s="417">
        <v>50.05</v>
      </c>
      <c r="P495" s="417"/>
      <c r="Q495" s="595">
        <f t="shared" si="8"/>
        <v>0</v>
      </c>
    </row>
    <row r="496" spans="1:17" ht="16.5" hidden="1" outlineLevel="1">
      <c r="A496" s="125" t="s">
        <v>784</v>
      </c>
      <c r="B496" s="391" t="s">
        <v>514</v>
      </c>
      <c r="C496" s="391" t="s">
        <v>388</v>
      </c>
      <c r="D496" s="391" t="s">
        <v>382</v>
      </c>
      <c r="E496" s="391"/>
      <c r="F496" s="391"/>
      <c r="G496" s="391"/>
      <c r="H496" s="391"/>
      <c r="I496" s="391"/>
      <c r="J496" s="391"/>
      <c r="K496" s="391"/>
      <c r="L496" s="391" t="s">
        <v>639</v>
      </c>
      <c r="M496" s="391" t="s">
        <v>645</v>
      </c>
      <c r="N496" s="417">
        <v>146.77</v>
      </c>
      <c r="O496" s="417">
        <v>146.77</v>
      </c>
      <c r="P496" s="417"/>
      <c r="Q496" s="595">
        <f t="shared" si="8"/>
        <v>0</v>
      </c>
    </row>
    <row r="497" spans="1:17" ht="16.5" hidden="1" outlineLevel="1">
      <c r="A497" s="125" t="s">
        <v>785</v>
      </c>
      <c r="B497" s="391" t="s">
        <v>514</v>
      </c>
      <c r="C497" s="391" t="s">
        <v>388</v>
      </c>
      <c r="D497" s="391" t="s">
        <v>382</v>
      </c>
      <c r="E497" s="391"/>
      <c r="F497" s="391"/>
      <c r="G497" s="391"/>
      <c r="H497" s="391"/>
      <c r="I497" s="391"/>
      <c r="J497" s="391"/>
      <c r="K497" s="391"/>
      <c r="L497" s="391" t="s">
        <v>639</v>
      </c>
      <c r="M497" s="391" t="s">
        <v>646</v>
      </c>
      <c r="N497" s="417">
        <v>10</v>
      </c>
      <c r="O497" s="417">
        <v>10</v>
      </c>
      <c r="P497" s="417"/>
      <c r="Q497" s="595">
        <f t="shared" si="8"/>
        <v>0</v>
      </c>
    </row>
    <row r="498" spans="1:17" ht="16.5" hidden="1" outlineLevel="1">
      <c r="A498" s="125" t="s">
        <v>786</v>
      </c>
      <c r="B498" s="391" t="s">
        <v>514</v>
      </c>
      <c r="C498" s="391" t="s">
        <v>388</v>
      </c>
      <c r="D498" s="391" t="s">
        <v>382</v>
      </c>
      <c r="E498" s="391"/>
      <c r="F498" s="391"/>
      <c r="G498" s="391"/>
      <c r="H498" s="391"/>
      <c r="I498" s="391"/>
      <c r="J498" s="391"/>
      <c r="K498" s="391"/>
      <c r="L498" s="391" t="s">
        <v>639</v>
      </c>
      <c r="M498" s="391" t="s">
        <v>647</v>
      </c>
      <c r="N498" s="417"/>
      <c r="O498" s="417"/>
      <c r="P498" s="417"/>
      <c r="Q498" s="595" t="e">
        <f t="shared" si="8"/>
        <v>#DIV/0!</v>
      </c>
    </row>
    <row r="499" spans="1:17" ht="31.5" hidden="1" outlineLevel="1">
      <c r="A499" s="125" t="s">
        <v>787</v>
      </c>
      <c r="B499" s="391" t="s">
        <v>514</v>
      </c>
      <c r="C499" s="391" t="s">
        <v>388</v>
      </c>
      <c r="D499" s="391" t="s">
        <v>382</v>
      </c>
      <c r="E499" s="391"/>
      <c r="F499" s="391"/>
      <c r="G499" s="391"/>
      <c r="H499" s="391"/>
      <c r="I499" s="391"/>
      <c r="J499" s="391"/>
      <c r="K499" s="391"/>
      <c r="L499" s="391" t="s">
        <v>639</v>
      </c>
      <c r="M499" s="391" t="s">
        <v>648</v>
      </c>
      <c r="N499" s="417">
        <v>140</v>
      </c>
      <c r="O499" s="417">
        <v>140</v>
      </c>
      <c r="P499" s="417"/>
      <c r="Q499" s="595">
        <f t="shared" si="8"/>
        <v>0</v>
      </c>
    </row>
    <row r="500" spans="1:17" s="79" customFormat="1" ht="16.5" hidden="1" outlineLevel="1">
      <c r="A500" s="125" t="s">
        <v>510</v>
      </c>
      <c r="B500" s="391" t="s">
        <v>514</v>
      </c>
      <c r="C500" s="391" t="s">
        <v>483</v>
      </c>
      <c r="D500" s="391"/>
      <c r="E500" s="391"/>
      <c r="F500" s="391"/>
      <c r="G500" s="391"/>
      <c r="H500" s="391"/>
      <c r="I500" s="391"/>
      <c r="J500" s="391"/>
      <c r="K500" s="391"/>
      <c r="L500" s="391"/>
      <c r="M500" s="391"/>
      <c r="N500" s="417">
        <v>0</v>
      </c>
      <c r="O500" s="417">
        <v>0</v>
      </c>
      <c r="P500" s="417"/>
      <c r="Q500" s="595" t="e">
        <f t="shared" si="8"/>
        <v>#DIV/0!</v>
      </c>
    </row>
    <row r="501" spans="1:17" ht="16.5" hidden="1" outlineLevel="1">
      <c r="A501" s="125" t="s">
        <v>521</v>
      </c>
      <c r="B501" s="391" t="s">
        <v>514</v>
      </c>
      <c r="C501" s="391" t="s">
        <v>483</v>
      </c>
      <c r="D501" s="391" t="s">
        <v>391</v>
      </c>
      <c r="E501" s="391"/>
      <c r="F501" s="391"/>
      <c r="G501" s="391"/>
      <c r="H501" s="391"/>
      <c r="I501" s="391"/>
      <c r="J501" s="391"/>
      <c r="K501" s="391"/>
      <c r="L501" s="391"/>
      <c r="M501" s="391"/>
      <c r="N501" s="417">
        <v>0</v>
      </c>
      <c r="O501" s="417">
        <v>0</v>
      </c>
      <c r="P501" s="417"/>
      <c r="Q501" s="595" t="e">
        <f t="shared" si="8"/>
        <v>#DIV/0!</v>
      </c>
    </row>
    <row r="502" spans="1:17" s="79" customFormat="1" ht="63" hidden="1" outlineLevel="1">
      <c r="A502" s="125" t="s">
        <v>842</v>
      </c>
      <c r="B502" s="391" t="s">
        <v>514</v>
      </c>
      <c r="C502" s="391" t="s">
        <v>483</v>
      </c>
      <c r="D502" s="391" t="s">
        <v>391</v>
      </c>
      <c r="E502" s="391" t="s">
        <v>843</v>
      </c>
      <c r="F502" s="391"/>
      <c r="G502" s="391"/>
      <c r="H502" s="391"/>
      <c r="I502" s="391"/>
      <c r="J502" s="391"/>
      <c r="K502" s="391"/>
      <c r="L502" s="391" t="s">
        <v>844</v>
      </c>
      <c r="M502" s="391"/>
      <c r="N502" s="417"/>
      <c r="O502" s="417"/>
      <c r="P502" s="417"/>
      <c r="Q502" s="595" t="e">
        <f t="shared" si="8"/>
        <v>#DIV/0!</v>
      </c>
    </row>
    <row r="503" spans="1:17" ht="63" hidden="1" outlineLevel="1">
      <c r="A503" s="125" t="s">
        <v>842</v>
      </c>
      <c r="B503" s="391" t="s">
        <v>514</v>
      </c>
      <c r="C503" s="391" t="s">
        <v>483</v>
      </c>
      <c r="D503" s="391" t="s">
        <v>391</v>
      </c>
      <c r="E503" s="391" t="s">
        <v>845</v>
      </c>
      <c r="F503" s="391"/>
      <c r="G503" s="391"/>
      <c r="H503" s="391"/>
      <c r="I503" s="391"/>
      <c r="J503" s="391"/>
      <c r="K503" s="391"/>
      <c r="L503" s="391" t="s">
        <v>844</v>
      </c>
      <c r="M503" s="391"/>
      <c r="N503" s="417"/>
      <c r="O503" s="417"/>
      <c r="P503" s="417"/>
      <c r="Q503" s="595" t="e">
        <f t="shared" si="8"/>
        <v>#DIV/0!</v>
      </c>
    </row>
    <row r="504" spans="1:17" ht="31.5" outlineLevel="1">
      <c r="A504" s="252" t="s">
        <v>893</v>
      </c>
      <c r="B504" s="362" t="s">
        <v>514</v>
      </c>
      <c r="C504" s="358" t="s">
        <v>388</v>
      </c>
      <c r="D504" s="358" t="s">
        <v>382</v>
      </c>
      <c r="E504" s="358" t="s">
        <v>770</v>
      </c>
      <c r="F504" s="358" t="s">
        <v>478</v>
      </c>
      <c r="G504" s="358" t="s">
        <v>789</v>
      </c>
      <c r="H504" s="358" t="s">
        <v>481</v>
      </c>
      <c r="I504" s="358" t="s">
        <v>770</v>
      </c>
      <c r="J504" s="358" t="s">
        <v>528</v>
      </c>
      <c r="K504" s="358" t="s">
        <v>480</v>
      </c>
      <c r="L504" s="362" t="s">
        <v>369</v>
      </c>
      <c r="M504" s="362"/>
      <c r="N504" s="363">
        <v>4392.58</v>
      </c>
      <c r="O504" s="363">
        <v>4332.38</v>
      </c>
      <c r="P504" s="363">
        <v>4332.38</v>
      </c>
      <c r="Q504" s="595">
        <f t="shared" si="8"/>
        <v>1</v>
      </c>
    </row>
    <row r="505" spans="1:17" s="79" customFormat="1" ht="16.5" hidden="1" outlineLevel="1">
      <c r="A505" s="125" t="s">
        <v>774</v>
      </c>
      <c r="B505" s="391" t="s">
        <v>514</v>
      </c>
      <c r="C505" s="72" t="s">
        <v>388</v>
      </c>
      <c r="D505" s="72" t="s">
        <v>382</v>
      </c>
      <c r="E505" s="72"/>
      <c r="F505" s="72"/>
      <c r="G505" s="72"/>
      <c r="H505" s="72"/>
      <c r="I505" s="72"/>
      <c r="J505" s="72"/>
      <c r="K505" s="72"/>
      <c r="L505" s="391" t="s">
        <v>735</v>
      </c>
      <c r="M505" s="391" t="s">
        <v>636</v>
      </c>
      <c r="N505" s="417">
        <v>3172.02</v>
      </c>
      <c r="O505" s="417">
        <v>3172.02</v>
      </c>
      <c r="P505" s="417"/>
      <c r="Q505" s="595">
        <f t="shared" si="8"/>
        <v>0</v>
      </c>
    </row>
    <row r="506" spans="1:17" s="79" customFormat="1" ht="16.5" hidden="1" outlineLevel="1">
      <c r="A506" s="125" t="s">
        <v>775</v>
      </c>
      <c r="B506" s="391" t="s">
        <v>514</v>
      </c>
      <c r="C506" s="72" t="s">
        <v>388</v>
      </c>
      <c r="D506" s="72" t="s">
        <v>382</v>
      </c>
      <c r="E506" s="72"/>
      <c r="F506" s="72"/>
      <c r="G506" s="72"/>
      <c r="H506" s="72"/>
      <c r="I506" s="72"/>
      <c r="J506" s="72"/>
      <c r="K506" s="72"/>
      <c r="L506" s="391" t="s">
        <v>735</v>
      </c>
      <c r="M506" s="391" t="s">
        <v>637</v>
      </c>
      <c r="N506" s="417">
        <v>957.95</v>
      </c>
      <c r="O506" s="417">
        <v>957.95</v>
      </c>
      <c r="P506" s="417"/>
      <c r="Q506" s="595">
        <f t="shared" si="8"/>
        <v>0</v>
      </c>
    </row>
    <row r="507" spans="1:17" ht="16.5" hidden="1" outlineLevel="1">
      <c r="A507" s="125" t="s">
        <v>784</v>
      </c>
      <c r="B507" s="391" t="s">
        <v>514</v>
      </c>
      <c r="C507" s="72" t="s">
        <v>388</v>
      </c>
      <c r="D507" s="72" t="s">
        <v>382</v>
      </c>
      <c r="E507" s="72"/>
      <c r="F507" s="72"/>
      <c r="G507" s="72"/>
      <c r="H507" s="72"/>
      <c r="I507" s="72"/>
      <c r="J507" s="72"/>
      <c r="K507" s="72"/>
      <c r="L507" s="391" t="s">
        <v>639</v>
      </c>
      <c r="M507" s="391" t="s">
        <v>645</v>
      </c>
      <c r="N507" s="417"/>
      <c r="O507" s="417"/>
      <c r="P507" s="417"/>
      <c r="Q507" s="595" t="e">
        <f t="shared" si="8"/>
        <v>#DIV/0!</v>
      </c>
    </row>
    <row r="508" spans="1:17" s="79" customFormat="1" ht="16.5" hidden="1" outlineLevel="1">
      <c r="A508" s="125" t="s">
        <v>786</v>
      </c>
      <c r="B508" s="391" t="s">
        <v>514</v>
      </c>
      <c r="C508" s="72" t="s">
        <v>388</v>
      </c>
      <c r="D508" s="72" t="s">
        <v>382</v>
      </c>
      <c r="E508" s="72"/>
      <c r="F508" s="72"/>
      <c r="G508" s="72"/>
      <c r="H508" s="72"/>
      <c r="I508" s="72"/>
      <c r="J508" s="72"/>
      <c r="K508" s="72"/>
      <c r="L508" s="391" t="s">
        <v>639</v>
      </c>
      <c r="M508" s="391" t="s">
        <v>647</v>
      </c>
      <c r="N508" s="417">
        <v>7</v>
      </c>
      <c r="O508" s="417">
        <v>7</v>
      </c>
      <c r="P508" s="417"/>
      <c r="Q508" s="595">
        <f t="shared" si="8"/>
        <v>0</v>
      </c>
    </row>
    <row r="509" spans="1:17" s="79" customFormat="1" ht="31.5" hidden="1" outlineLevel="1">
      <c r="A509" s="125" t="s">
        <v>787</v>
      </c>
      <c r="B509" s="391" t="s">
        <v>514</v>
      </c>
      <c r="C509" s="72" t="s">
        <v>388</v>
      </c>
      <c r="D509" s="72" t="s">
        <v>382</v>
      </c>
      <c r="E509" s="72"/>
      <c r="F509" s="72"/>
      <c r="G509" s="72"/>
      <c r="H509" s="72"/>
      <c r="I509" s="72"/>
      <c r="J509" s="72"/>
      <c r="K509" s="72"/>
      <c r="L509" s="391" t="s">
        <v>639</v>
      </c>
      <c r="M509" s="391" t="s">
        <v>648</v>
      </c>
      <c r="N509" s="417">
        <v>18.58</v>
      </c>
      <c r="O509" s="417">
        <v>18.58</v>
      </c>
      <c r="P509" s="417"/>
      <c r="Q509" s="595">
        <f t="shared" si="8"/>
        <v>0</v>
      </c>
    </row>
    <row r="510" spans="1:17" s="79" customFormat="1" ht="16.5" outlineLevel="1">
      <c r="A510" s="252" t="s">
        <v>854</v>
      </c>
      <c r="B510" s="362" t="s">
        <v>514</v>
      </c>
      <c r="C510" s="358" t="s">
        <v>388</v>
      </c>
      <c r="D510" s="358" t="s">
        <v>382</v>
      </c>
      <c r="E510" s="358" t="s">
        <v>770</v>
      </c>
      <c r="F510" s="358" t="s">
        <v>478</v>
      </c>
      <c r="G510" s="358" t="s">
        <v>789</v>
      </c>
      <c r="H510" s="358" t="s">
        <v>481</v>
      </c>
      <c r="I510" s="358" t="s">
        <v>770</v>
      </c>
      <c r="J510" s="358" t="s">
        <v>478</v>
      </c>
      <c r="K510" s="358" t="s">
        <v>478</v>
      </c>
      <c r="L510" s="362" t="s">
        <v>369</v>
      </c>
      <c r="M510" s="362"/>
      <c r="N510" s="363">
        <v>96</v>
      </c>
      <c r="O510" s="363">
        <v>120.56</v>
      </c>
      <c r="P510" s="363">
        <v>120.56</v>
      </c>
      <c r="Q510" s="595">
        <f t="shared" si="8"/>
        <v>1</v>
      </c>
    </row>
    <row r="511" spans="1:17" s="79" customFormat="1" ht="16.5" hidden="1" outlineLevel="1">
      <c r="A511" s="125" t="s">
        <v>774</v>
      </c>
      <c r="B511" s="391" t="s">
        <v>514</v>
      </c>
      <c r="C511" s="72" t="s">
        <v>388</v>
      </c>
      <c r="D511" s="72" t="s">
        <v>382</v>
      </c>
      <c r="E511" s="72"/>
      <c r="F511" s="72"/>
      <c r="G511" s="72"/>
      <c r="H511" s="72"/>
      <c r="I511" s="72"/>
      <c r="J511" s="72"/>
      <c r="K511" s="72"/>
      <c r="L511" s="391" t="s">
        <v>735</v>
      </c>
      <c r="M511" s="391" t="s">
        <v>636</v>
      </c>
      <c r="N511" s="417">
        <v>336.71</v>
      </c>
      <c r="O511" s="417">
        <v>336.71</v>
      </c>
      <c r="P511" s="417"/>
      <c r="Q511" s="595">
        <f t="shared" si="8"/>
        <v>0</v>
      </c>
    </row>
    <row r="512" spans="1:17" s="79" customFormat="1" ht="16.5" hidden="1" outlineLevel="1">
      <c r="A512" s="125" t="s">
        <v>775</v>
      </c>
      <c r="B512" s="391" t="s">
        <v>514</v>
      </c>
      <c r="C512" s="72" t="s">
        <v>388</v>
      </c>
      <c r="D512" s="72" t="s">
        <v>382</v>
      </c>
      <c r="E512" s="72"/>
      <c r="F512" s="72"/>
      <c r="G512" s="72"/>
      <c r="H512" s="72"/>
      <c r="I512" s="72"/>
      <c r="J512" s="72"/>
      <c r="K512" s="72"/>
      <c r="L512" s="391" t="s">
        <v>735</v>
      </c>
      <c r="M512" s="391" t="s">
        <v>637</v>
      </c>
      <c r="N512" s="417">
        <v>101.69</v>
      </c>
      <c r="O512" s="417">
        <v>101.69</v>
      </c>
      <c r="P512" s="417"/>
      <c r="Q512" s="595">
        <f t="shared" si="8"/>
        <v>0</v>
      </c>
    </row>
    <row r="513" spans="1:17" s="79" customFormat="1" ht="31.5" outlineLevel="1">
      <c r="A513" s="252" t="s">
        <v>894</v>
      </c>
      <c r="B513" s="362" t="s">
        <v>514</v>
      </c>
      <c r="C513" s="358" t="s">
        <v>483</v>
      </c>
      <c r="D513" s="358" t="s">
        <v>387</v>
      </c>
      <c r="E513" s="358" t="s">
        <v>770</v>
      </c>
      <c r="F513" s="358" t="s">
        <v>478</v>
      </c>
      <c r="G513" s="358" t="s">
        <v>789</v>
      </c>
      <c r="H513" s="358" t="s">
        <v>481</v>
      </c>
      <c r="I513" s="358" t="s">
        <v>770</v>
      </c>
      <c r="J513" s="358" t="s">
        <v>478</v>
      </c>
      <c r="K513" s="358" t="s">
        <v>480</v>
      </c>
      <c r="L513" s="362" t="s">
        <v>369</v>
      </c>
      <c r="M513" s="362"/>
      <c r="N513" s="363">
        <v>67.18</v>
      </c>
      <c r="O513" s="363">
        <v>121.94</v>
      </c>
      <c r="P513" s="363">
        <v>121.94</v>
      </c>
      <c r="Q513" s="595">
        <f t="shared" si="8"/>
        <v>1</v>
      </c>
    </row>
    <row r="514" spans="1:17" s="79" customFormat="1" ht="16.5" hidden="1" outlineLevel="1">
      <c r="A514" s="125" t="s">
        <v>784</v>
      </c>
      <c r="B514" s="391" t="s">
        <v>514</v>
      </c>
      <c r="C514" s="72" t="s">
        <v>388</v>
      </c>
      <c r="D514" s="72" t="s">
        <v>382</v>
      </c>
      <c r="E514" s="72"/>
      <c r="F514" s="72"/>
      <c r="G514" s="72"/>
      <c r="H514" s="72"/>
      <c r="I514" s="72"/>
      <c r="J514" s="72"/>
      <c r="K514" s="72"/>
      <c r="L514" s="391" t="s">
        <v>639</v>
      </c>
      <c r="M514" s="391" t="s">
        <v>645</v>
      </c>
      <c r="N514" s="417"/>
      <c r="O514" s="417"/>
      <c r="P514" s="417"/>
      <c r="Q514" s="595" t="e">
        <f t="shared" si="8"/>
        <v>#DIV/0!</v>
      </c>
    </row>
    <row r="515" spans="1:17" ht="16.5" hidden="1" outlineLevel="1">
      <c r="A515" s="125" t="s">
        <v>855</v>
      </c>
      <c r="B515" s="391" t="s">
        <v>514</v>
      </c>
      <c r="C515" s="72" t="s">
        <v>388</v>
      </c>
      <c r="D515" s="72" t="s">
        <v>382</v>
      </c>
      <c r="E515" s="72"/>
      <c r="F515" s="72"/>
      <c r="G515" s="72"/>
      <c r="H515" s="72"/>
      <c r="I515" s="72"/>
      <c r="J515" s="72"/>
      <c r="K515" s="72"/>
      <c r="L515" s="391" t="s">
        <v>639</v>
      </c>
      <c r="M515" s="391" t="s">
        <v>680</v>
      </c>
      <c r="N515" s="417">
        <v>67.18</v>
      </c>
      <c r="O515" s="417">
        <v>67.18</v>
      </c>
      <c r="P515" s="417"/>
      <c r="Q515" s="595">
        <f t="shared" si="8"/>
        <v>0</v>
      </c>
    </row>
    <row r="516" spans="1:17" s="79" customFormat="1" ht="31.5" outlineLevel="1">
      <c r="A516" s="252" t="s">
        <v>856</v>
      </c>
      <c r="B516" s="362" t="s">
        <v>514</v>
      </c>
      <c r="C516" s="358" t="s">
        <v>388</v>
      </c>
      <c r="D516" s="358" t="s">
        <v>382</v>
      </c>
      <c r="E516" s="358" t="s">
        <v>770</v>
      </c>
      <c r="F516" s="358" t="s">
        <v>478</v>
      </c>
      <c r="G516" s="358" t="s">
        <v>789</v>
      </c>
      <c r="H516" s="358" t="s">
        <v>481</v>
      </c>
      <c r="I516" s="358" t="s">
        <v>770</v>
      </c>
      <c r="J516" s="358" t="s">
        <v>478</v>
      </c>
      <c r="K516" s="358" t="s">
        <v>481</v>
      </c>
      <c r="L516" s="362" t="s">
        <v>369</v>
      </c>
      <c r="M516" s="362"/>
      <c r="N516" s="363">
        <v>42.77</v>
      </c>
      <c r="O516" s="363">
        <v>36.91</v>
      </c>
      <c r="P516" s="363">
        <v>36.91</v>
      </c>
      <c r="Q516" s="595">
        <f t="shared" si="8"/>
        <v>1</v>
      </c>
    </row>
    <row r="517" spans="1:17" ht="31.5" hidden="1" outlineLevel="1">
      <c r="A517" s="125" t="s">
        <v>787</v>
      </c>
      <c r="B517" s="391" t="s">
        <v>514</v>
      </c>
      <c r="C517" s="358" t="s">
        <v>388</v>
      </c>
      <c r="D517" s="358" t="s">
        <v>382</v>
      </c>
      <c r="E517" s="358"/>
      <c r="F517" s="358"/>
      <c r="G517" s="358"/>
      <c r="H517" s="358"/>
      <c r="I517" s="358"/>
      <c r="J517" s="358"/>
      <c r="K517" s="358"/>
      <c r="L517" s="391" t="s">
        <v>639</v>
      </c>
      <c r="M517" s="391" t="s">
        <v>648</v>
      </c>
      <c r="N517" s="417">
        <v>42.77</v>
      </c>
      <c r="O517" s="417">
        <v>42.77</v>
      </c>
      <c r="P517" s="417"/>
      <c r="Q517" s="595">
        <f t="shared" si="8"/>
        <v>0</v>
      </c>
    </row>
    <row r="518" spans="1:17" s="79" customFormat="1" ht="31.5" outlineLevel="1">
      <c r="A518" s="252" t="s">
        <v>857</v>
      </c>
      <c r="B518" s="358" t="s">
        <v>514</v>
      </c>
      <c r="C518" s="358" t="s">
        <v>388</v>
      </c>
      <c r="D518" s="358" t="s">
        <v>382</v>
      </c>
      <c r="E518" s="72" t="s">
        <v>770</v>
      </c>
      <c r="F518" s="72" t="s">
        <v>528</v>
      </c>
      <c r="G518" s="72" t="s">
        <v>478</v>
      </c>
      <c r="H518" s="72" t="s">
        <v>770</v>
      </c>
      <c r="I518" s="72" t="s">
        <v>528</v>
      </c>
      <c r="J518" s="72" t="s">
        <v>770</v>
      </c>
      <c r="K518" s="72" t="s">
        <v>479</v>
      </c>
      <c r="L518" s="362" t="s">
        <v>369</v>
      </c>
      <c r="M518" s="362"/>
      <c r="N518" s="363">
        <f>40.79+4</f>
        <v>44.79</v>
      </c>
      <c r="O518" s="363">
        <v>237.15</v>
      </c>
      <c r="P518" s="363">
        <v>237.15</v>
      </c>
      <c r="Q518" s="595">
        <f t="shared" si="8"/>
        <v>1</v>
      </c>
    </row>
    <row r="519" spans="1:17" ht="31.5" hidden="1" outlineLevel="1">
      <c r="A519" s="125" t="s">
        <v>787</v>
      </c>
      <c r="B519" s="72" t="s">
        <v>514</v>
      </c>
      <c r="C519" s="72" t="s">
        <v>388</v>
      </c>
      <c r="D519" s="72" t="s">
        <v>382</v>
      </c>
      <c r="E519" s="72"/>
      <c r="F519" s="72"/>
      <c r="G519" s="72"/>
      <c r="H519" s="72"/>
      <c r="I519" s="72"/>
      <c r="J519" s="72"/>
      <c r="K519" s="72"/>
      <c r="L519" s="391" t="s">
        <v>639</v>
      </c>
      <c r="M519" s="391" t="s">
        <v>648</v>
      </c>
      <c r="N519" s="417">
        <v>40.79</v>
      </c>
      <c r="O519" s="417">
        <v>40.79</v>
      </c>
      <c r="P519" s="417"/>
      <c r="Q519" s="595">
        <f t="shared" si="8"/>
        <v>0</v>
      </c>
    </row>
    <row r="520" spans="1:17" s="397" customFormat="1" ht="36" customHeight="1" outlineLevel="1">
      <c r="A520" s="252" t="s">
        <v>895</v>
      </c>
      <c r="B520" s="358" t="s">
        <v>514</v>
      </c>
      <c r="C520" s="358" t="s">
        <v>388</v>
      </c>
      <c r="D520" s="358" t="s">
        <v>382</v>
      </c>
      <c r="E520" s="72" t="s">
        <v>770</v>
      </c>
      <c r="F520" s="72" t="s">
        <v>528</v>
      </c>
      <c r="G520" s="72" t="s">
        <v>478</v>
      </c>
      <c r="H520" s="72" t="s">
        <v>770</v>
      </c>
      <c r="I520" s="72" t="s">
        <v>528</v>
      </c>
      <c r="J520" s="72" t="s">
        <v>770</v>
      </c>
      <c r="K520" s="72" t="s">
        <v>480</v>
      </c>
      <c r="L520" s="362" t="s">
        <v>369</v>
      </c>
      <c r="M520" s="362"/>
      <c r="N520" s="363">
        <f>215.64+89.22</f>
        <v>304.86</v>
      </c>
      <c r="O520" s="363">
        <v>340.81</v>
      </c>
      <c r="P520" s="363">
        <v>340.81</v>
      </c>
      <c r="Q520" s="595">
        <f t="shared" si="8"/>
        <v>1</v>
      </c>
    </row>
    <row r="521" spans="1:17" ht="16.5" hidden="1" outlineLevel="1">
      <c r="A521" s="125" t="s">
        <v>774</v>
      </c>
      <c r="B521" s="391" t="s">
        <v>514</v>
      </c>
      <c r="C521" s="391" t="s">
        <v>388</v>
      </c>
      <c r="D521" s="391" t="s">
        <v>382</v>
      </c>
      <c r="E521" s="391"/>
      <c r="F521" s="391"/>
      <c r="G521" s="391"/>
      <c r="H521" s="391"/>
      <c r="I521" s="391"/>
      <c r="J521" s="391"/>
      <c r="K521" s="391"/>
      <c r="L521" s="391" t="s">
        <v>735</v>
      </c>
      <c r="M521" s="391" t="s">
        <v>636</v>
      </c>
      <c r="N521" s="417">
        <v>93.15</v>
      </c>
      <c r="O521" s="417">
        <v>93.15</v>
      </c>
      <c r="P521" s="417"/>
      <c r="Q521" s="595">
        <f t="shared" si="8"/>
        <v>0</v>
      </c>
    </row>
    <row r="522" spans="1:17" ht="16.5" hidden="1" outlineLevel="1">
      <c r="A522" s="125" t="s">
        <v>775</v>
      </c>
      <c r="B522" s="391" t="s">
        <v>514</v>
      </c>
      <c r="C522" s="391" t="s">
        <v>388</v>
      </c>
      <c r="D522" s="391" t="s">
        <v>382</v>
      </c>
      <c r="E522" s="391"/>
      <c r="F522" s="391"/>
      <c r="G522" s="391"/>
      <c r="H522" s="391"/>
      <c r="I522" s="391"/>
      <c r="J522" s="391"/>
      <c r="K522" s="391"/>
      <c r="L522" s="391" t="s">
        <v>735</v>
      </c>
      <c r="M522" s="391" t="s">
        <v>637</v>
      </c>
      <c r="N522" s="417">
        <v>28.13</v>
      </c>
      <c r="O522" s="417">
        <v>28.13</v>
      </c>
      <c r="P522" s="417"/>
      <c r="Q522" s="595">
        <f t="shared" si="8"/>
        <v>0</v>
      </c>
    </row>
    <row r="523" spans="1:17" ht="31.5" hidden="1" outlineLevel="1">
      <c r="A523" s="125" t="s">
        <v>787</v>
      </c>
      <c r="B523" s="391" t="s">
        <v>514</v>
      </c>
      <c r="C523" s="391" t="s">
        <v>388</v>
      </c>
      <c r="D523" s="391" t="s">
        <v>382</v>
      </c>
      <c r="E523" s="391"/>
      <c r="F523" s="391"/>
      <c r="G523" s="391"/>
      <c r="H523" s="391"/>
      <c r="I523" s="391"/>
      <c r="J523" s="391"/>
      <c r="K523" s="391"/>
      <c r="L523" s="391" t="s">
        <v>639</v>
      </c>
      <c r="M523" s="391" t="s">
        <v>648</v>
      </c>
      <c r="N523" s="417">
        <v>94.36</v>
      </c>
      <c r="O523" s="417">
        <v>94.36</v>
      </c>
      <c r="P523" s="417"/>
      <c r="Q523" s="595">
        <f t="shared" si="8"/>
        <v>0</v>
      </c>
    </row>
    <row r="524" spans="1:17" ht="141.75" outlineLevel="1">
      <c r="A524" s="125" t="s">
        <v>952</v>
      </c>
      <c r="B524" s="391" t="s">
        <v>514</v>
      </c>
      <c r="C524" s="391" t="s">
        <v>388</v>
      </c>
      <c r="D524" s="391" t="s">
        <v>382</v>
      </c>
      <c r="E524" s="391" t="s">
        <v>552</v>
      </c>
      <c r="F524" s="391" t="s">
        <v>552</v>
      </c>
      <c r="G524" s="391" t="s">
        <v>528</v>
      </c>
      <c r="H524" s="391" t="s">
        <v>552</v>
      </c>
      <c r="I524" s="391" t="s">
        <v>770</v>
      </c>
      <c r="J524" s="391" t="s">
        <v>770</v>
      </c>
      <c r="K524" s="391" t="s">
        <v>528</v>
      </c>
      <c r="L524" s="391" t="s">
        <v>778</v>
      </c>
      <c r="M524" s="391"/>
      <c r="N524" s="417">
        <v>0</v>
      </c>
      <c r="O524" s="417">
        <v>90</v>
      </c>
      <c r="P524" s="417">
        <v>90</v>
      </c>
      <c r="Q524" s="595">
        <f aca="true" t="shared" si="9" ref="Q524:Q587">P524/O524</f>
        <v>1</v>
      </c>
    </row>
    <row r="525" spans="1:17" ht="16.5" outlineLevel="1">
      <c r="A525" s="125"/>
      <c r="B525" s="391" t="s">
        <v>514</v>
      </c>
      <c r="C525" s="391" t="s">
        <v>388</v>
      </c>
      <c r="D525" s="391" t="s">
        <v>385</v>
      </c>
      <c r="E525" s="391" t="s">
        <v>770</v>
      </c>
      <c r="F525" s="391" t="s">
        <v>528</v>
      </c>
      <c r="G525" s="391" t="s">
        <v>546</v>
      </c>
      <c r="H525" s="391" t="s">
        <v>770</v>
      </c>
      <c r="I525" s="391" t="s">
        <v>528</v>
      </c>
      <c r="J525" s="391" t="s">
        <v>770</v>
      </c>
      <c r="K525" s="391" t="s">
        <v>546</v>
      </c>
      <c r="L525" s="391" t="s">
        <v>778</v>
      </c>
      <c r="M525" s="391"/>
      <c r="N525" s="417"/>
      <c r="O525" s="417">
        <v>711.2</v>
      </c>
      <c r="P525" s="417">
        <v>711.2</v>
      </c>
      <c r="Q525" s="595">
        <f t="shared" si="9"/>
        <v>1</v>
      </c>
    </row>
    <row r="526" spans="1:17" s="397" customFormat="1" ht="30" customHeight="1" outlineLevel="1">
      <c r="A526" s="418" t="s">
        <v>896</v>
      </c>
      <c r="B526" s="419" t="s">
        <v>514</v>
      </c>
      <c r="C526" s="419"/>
      <c r="D526" s="419"/>
      <c r="E526" s="419"/>
      <c r="F526" s="419"/>
      <c r="G526" s="419"/>
      <c r="H526" s="419"/>
      <c r="I526" s="419"/>
      <c r="J526" s="419"/>
      <c r="K526" s="419"/>
      <c r="L526" s="419"/>
      <c r="M526" s="419"/>
      <c r="N526" s="420">
        <f>N530+N534+N548+N554+N557+N560+N562+N564</f>
        <v>6030.55</v>
      </c>
      <c r="O526" s="420">
        <f>O527</f>
        <v>6449.950000000001</v>
      </c>
      <c r="P526" s="420">
        <f>P527</f>
        <v>6182.820000000001</v>
      </c>
      <c r="Q526" s="595">
        <f t="shared" si="9"/>
        <v>0.9585841750711246</v>
      </c>
    </row>
    <row r="527" spans="1:17" ht="16.5" outlineLevel="1">
      <c r="A527" s="125" t="s">
        <v>509</v>
      </c>
      <c r="B527" s="391" t="s">
        <v>514</v>
      </c>
      <c r="C527" s="391" t="s">
        <v>388</v>
      </c>
      <c r="D527" s="391"/>
      <c r="E527" s="391"/>
      <c r="F527" s="391"/>
      <c r="G527" s="391"/>
      <c r="H527" s="391"/>
      <c r="I527" s="391"/>
      <c r="J527" s="391"/>
      <c r="K527" s="391"/>
      <c r="L527" s="391"/>
      <c r="M527" s="391"/>
      <c r="N527" s="417">
        <v>5895.83</v>
      </c>
      <c r="O527" s="417">
        <f>O528</f>
        <v>6449.950000000001</v>
      </c>
      <c r="P527" s="417">
        <f>P528</f>
        <v>6182.820000000001</v>
      </c>
      <c r="Q527" s="595">
        <f t="shared" si="9"/>
        <v>0.9585841750711246</v>
      </c>
    </row>
    <row r="528" spans="1:17" ht="16.5" outlineLevel="1">
      <c r="A528" s="125" t="s">
        <v>512</v>
      </c>
      <c r="B528" s="391" t="s">
        <v>514</v>
      </c>
      <c r="C528" s="391" t="s">
        <v>388</v>
      </c>
      <c r="D528" s="391" t="s">
        <v>382</v>
      </c>
      <c r="E528" s="391"/>
      <c r="F528" s="391"/>
      <c r="G528" s="391"/>
      <c r="H528" s="391"/>
      <c r="I528" s="391"/>
      <c r="J528" s="391"/>
      <c r="K528" s="391"/>
      <c r="L528" s="391"/>
      <c r="M528" s="391"/>
      <c r="N528" s="417">
        <v>5895.83</v>
      </c>
      <c r="O528" s="417">
        <f>O530+O534+O548+O554+O557+O560+O562+O564+O568+O570+O571</f>
        <v>6449.950000000001</v>
      </c>
      <c r="P528" s="417">
        <f>P530+P534+P548+P554+P557+P560+P562+P564+P568+P570+P571</f>
        <v>6182.820000000001</v>
      </c>
      <c r="Q528" s="595">
        <f t="shared" si="9"/>
        <v>0.9585841750711246</v>
      </c>
    </row>
    <row r="529" spans="1:17" ht="47.25" outlineLevel="1">
      <c r="A529" s="125" t="s">
        <v>892</v>
      </c>
      <c r="B529" s="391" t="s">
        <v>514</v>
      </c>
      <c r="C529" s="391" t="s">
        <v>388</v>
      </c>
      <c r="D529" s="391" t="s">
        <v>382</v>
      </c>
      <c r="E529" s="391" t="s">
        <v>770</v>
      </c>
      <c r="F529" s="391" t="s">
        <v>528</v>
      </c>
      <c r="G529" s="391"/>
      <c r="H529" s="391"/>
      <c r="I529" s="391"/>
      <c r="J529" s="391"/>
      <c r="K529" s="391"/>
      <c r="L529" s="391" t="s">
        <v>369</v>
      </c>
      <c r="M529" s="391"/>
      <c r="N529" s="417">
        <f>N530+N534</f>
        <v>527.42</v>
      </c>
      <c r="O529" s="417">
        <f>O530+O534</f>
        <v>631.1700000000001</v>
      </c>
      <c r="P529" s="417">
        <f>P530+P534</f>
        <v>631.1700000000001</v>
      </c>
      <c r="Q529" s="595">
        <f t="shared" si="9"/>
        <v>1</v>
      </c>
    </row>
    <row r="530" spans="1:17" ht="31.5" outlineLevel="1">
      <c r="A530" s="125" t="s">
        <v>850</v>
      </c>
      <c r="B530" s="391" t="s">
        <v>514</v>
      </c>
      <c r="C530" s="391" t="s">
        <v>388</v>
      </c>
      <c r="D530" s="391" t="s">
        <v>382</v>
      </c>
      <c r="E530" s="391" t="s">
        <v>770</v>
      </c>
      <c r="F530" s="391" t="s">
        <v>528</v>
      </c>
      <c r="G530" s="391" t="s">
        <v>478</v>
      </c>
      <c r="H530" s="391" t="s">
        <v>770</v>
      </c>
      <c r="I530" s="391" t="s">
        <v>528</v>
      </c>
      <c r="J530" s="391" t="s">
        <v>770</v>
      </c>
      <c r="K530" s="391" t="s">
        <v>528</v>
      </c>
      <c r="L530" s="391" t="s">
        <v>773</v>
      </c>
      <c r="M530" s="391"/>
      <c r="N530" s="417">
        <v>371.21</v>
      </c>
      <c r="O530" s="417">
        <v>287.43</v>
      </c>
      <c r="P530" s="417">
        <v>287.43</v>
      </c>
      <c r="Q530" s="595">
        <f t="shared" si="9"/>
        <v>1</v>
      </c>
    </row>
    <row r="531" spans="1:17" ht="16.5" hidden="1" outlineLevel="1">
      <c r="A531" s="125" t="s">
        <v>774</v>
      </c>
      <c r="B531" s="391" t="s">
        <v>514</v>
      </c>
      <c r="C531" s="391" t="s">
        <v>388</v>
      </c>
      <c r="D531" s="391" t="s">
        <v>382</v>
      </c>
      <c r="E531" s="391"/>
      <c r="F531" s="391"/>
      <c r="G531" s="391"/>
      <c r="H531" s="391"/>
      <c r="I531" s="391"/>
      <c r="J531" s="391"/>
      <c r="K531" s="391"/>
      <c r="L531" s="391" t="s">
        <v>735</v>
      </c>
      <c r="M531" s="391" t="s">
        <v>636</v>
      </c>
      <c r="N531" s="417">
        <v>100.66</v>
      </c>
      <c r="O531" s="417">
        <v>100.66</v>
      </c>
      <c r="P531" s="417"/>
      <c r="Q531" s="595">
        <f t="shared" si="9"/>
        <v>0</v>
      </c>
    </row>
    <row r="532" spans="1:17" ht="16.5" hidden="1" outlineLevel="1">
      <c r="A532" s="125" t="s">
        <v>776</v>
      </c>
      <c r="B532" s="391" t="s">
        <v>514</v>
      </c>
      <c r="C532" s="391" t="s">
        <v>388</v>
      </c>
      <c r="D532" s="391" t="s">
        <v>382</v>
      </c>
      <c r="E532" s="391"/>
      <c r="F532" s="391"/>
      <c r="G532" s="391"/>
      <c r="H532" s="391"/>
      <c r="I532" s="391"/>
      <c r="J532" s="391"/>
      <c r="K532" s="391"/>
      <c r="L532" s="391" t="s">
        <v>676</v>
      </c>
      <c r="M532" s="391" t="s">
        <v>660</v>
      </c>
      <c r="N532" s="417"/>
      <c r="O532" s="417"/>
      <c r="P532" s="417"/>
      <c r="Q532" s="595" t="e">
        <f t="shared" si="9"/>
        <v>#DIV/0!</v>
      </c>
    </row>
    <row r="533" spans="1:17" ht="16.5" hidden="1" outlineLevel="1">
      <c r="A533" s="125" t="s">
        <v>775</v>
      </c>
      <c r="B533" s="391" t="s">
        <v>514</v>
      </c>
      <c r="C533" s="391" t="s">
        <v>388</v>
      </c>
      <c r="D533" s="391" t="s">
        <v>382</v>
      </c>
      <c r="E533" s="391"/>
      <c r="F533" s="391"/>
      <c r="G533" s="391"/>
      <c r="H533" s="391"/>
      <c r="I533" s="391"/>
      <c r="J533" s="391"/>
      <c r="K533" s="391"/>
      <c r="L533" s="391" t="s">
        <v>735</v>
      </c>
      <c r="M533" s="391" t="s">
        <v>637</v>
      </c>
      <c r="N533" s="417">
        <v>30.4</v>
      </c>
      <c r="O533" s="417">
        <v>30.4</v>
      </c>
      <c r="P533" s="417"/>
      <c r="Q533" s="595">
        <f t="shared" si="9"/>
        <v>0</v>
      </c>
    </row>
    <row r="534" spans="1:17" ht="31.5" outlineLevel="1">
      <c r="A534" s="125" t="s">
        <v>777</v>
      </c>
      <c r="B534" s="391" t="s">
        <v>514</v>
      </c>
      <c r="C534" s="391" t="s">
        <v>388</v>
      </c>
      <c r="D534" s="391" t="s">
        <v>382</v>
      </c>
      <c r="E534" s="391" t="s">
        <v>770</v>
      </c>
      <c r="F534" s="391" t="s">
        <v>528</v>
      </c>
      <c r="G534" s="391" t="s">
        <v>478</v>
      </c>
      <c r="H534" s="391" t="s">
        <v>770</v>
      </c>
      <c r="I534" s="391" t="s">
        <v>528</v>
      </c>
      <c r="J534" s="391" t="s">
        <v>770</v>
      </c>
      <c r="K534" s="391" t="s">
        <v>478</v>
      </c>
      <c r="L534" s="391" t="s">
        <v>778</v>
      </c>
      <c r="M534" s="391"/>
      <c r="N534" s="417">
        <v>156.21</v>
      </c>
      <c r="O534" s="417">
        <v>343.74</v>
      </c>
      <c r="P534" s="417">
        <v>343.74</v>
      </c>
      <c r="Q534" s="595">
        <f t="shared" si="9"/>
        <v>1</v>
      </c>
    </row>
    <row r="535" spans="1:17" ht="16.5" hidden="1" outlineLevel="1">
      <c r="A535" s="125" t="s">
        <v>779</v>
      </c>
      <c r="B535" s="391" t="s">
        <v>514</v>
      </c>
      <c r="C535" s="391" t="s">
        <v>388</v>
      </c>
      <c r="D535" s="391" t="s">
        <v>382</v>
      </c>
      <c r="E535" s="391"/>
      <c r="F535" s="391"/>
      <c r="G535" s="391"/>
      <c r="H535" s="391"/>
      <c r="I535" s="391"/>
      <c r="J535" s="391"/>
      <c r="K535" s="391"/>
      <c r="L535" s="391" t="s">
        <v>639</v>
      </c>
      <c r="M535" s="391" t="s">
        <v>640</v>
      </c>
      <c r="N535" s="417">
        <v>5.3</v>
      </c>
      <c r="O535" s="417">
        <v>5.3</v>
      </c>
      <c r="P535" s="417"/>
      <c r="Q535" s="595">
        <f t="shared" si="9"/>
        <v>0</v>
      </c>
    </row>
    <row r="536" spans="1:17" ht="16.5" hidden="1" outlineLevel="1">
      <c r="A536" s="125" t="s">
        <v>780</v>
      </c>
      <c r="B536" s="391" t="s">
        <v>514</v>
      </c>
      <c r="C536" s="391" t="s">
        <v>388</v>
      </c>
      <c r="D536" s="391" t="s">
        <v>382</v>
      </c>
      <c r="E536" s="391"/>
      <c r="F536" s="391"/>
      <c r="G536" s="391"/>
      <c r="H536" s="391"/>
      <c r="I536" s="391"/>
      <c r="J536" s="391"/>
      <c r="K536" s="391"/>
      <c r="L536" s="391" t="s">
        <v>639</v>
      </c>
      <c r="M536" s="391" t="s">
        <v>641</v>
      </c>
      <c r="N536" s="417"/>
      <c r="O536" s="417"/>
      <c r="P536" s="417"/>
      <c r="Q536" s="595" t="e">
        <f t="shared" si="9"/>
        <v>#DIV/0!</v>
      </c>
    </row>
    <row r="537" spans="1:17" ht="16.5" hidden="1" outlineLevel="1">
      <c r="A537" s="125" t="s">
        <v>781</v>
      </c>
      <c r="B537" s="391" t="s">
        <v>514</v>
      </c>
      <c r="C537" s="391" t="s">
        <v>388</v>
      </c>
      <c r="D537" s="391" t="s">
        <v>382</v>
      </c>
      <c r="E537" s="391"/>
      <c r="F537" s="391"/>
      <c r="G537" s="391"/>
      <c r="H537" s="391"/>
      <c r="I537" s="391"/>
      <c r="J537" s="391"/>
      <c r="K537" s="391"/>
      <c r="L537" s="391" t="s">
        <v>639</v>
      </c>
      <c r="M537" s="391" t="s">
        <v>642</v>
      </c>
      <c r="N537" s="417">
        <v>34.1</v>
      </c>
      <c r="O537" s="417">
        <v>34.1</v>
      </c>
      <c r="P537" s="417"/>
      <c r="Q537" s="595">
        <f t="shared" si="9"/>
        <v>0</v>
      </c>
    </row>
    <row r="538" spans="1:17" ht="16.5" hidden="1" outlineLevel="1">
      <c r="A538" s="125" t="s">
        <v>782</v>
      </c>
      <c r="B538" s="391" t="s">
        <v>514</v>
      </c>
      <c r="C538" s="391" t="s">
        <v>388</v>
      </c>
      <c r="D538" s="391" t="s">
        <v>382</v>
      </c>
      <c r="E538" s="391"/>
      <c r="F538" s="391"/>
      <c r="G538" s="391"/>
      <c r="H538" s="391"/>
      <c r="I538" s="391"/>
      <c r="J538" s="391"/>
      <c r="K538" s="391"/>
      <c r="L538" s="391" t="s">
        <v>639</v>
      </c>
      <c r="M538" s="391" t="s">
        <v>643</v>
      </c>
      <c r="N538" s="417"/>
      <c r="O538" s="417"/>
      <c r="P538" s="417"/>
      <c r="Q538" s="595" t="e">
        <f t="shared" si="9"/>
        <v>#DIV/0!</v>
      </c>
    </row>
    <row r="539" spans="1:17" ht="16.5" hidden="1" outlineLevel="1">
      <c r="A539" s="125" t="s">
        <v>783</v>
      </c>
      <c r="B539" s="391" t="s">
        <v>514</v>
      </c>
      <c r="C539" s="391" t="s">
        <v>388</v>
      </c>
      <c r="D539" s="391" t="s">
        <v>382</v>
      </c>
      <c r="E539" s="391"/>
      <c r="F539" s="391"/>
      <c r="G539" s="391"/>
      <c r="H539" s="391"/>
      <c r="I539" s="391"/>
      <c r="J539" s="391"/>
      <c r="K539" s="391"/>
      <c r="L539" s="391" t="s">
        <v>639</v>
      </c>
      <c r="M539" s="391" t="s">
        <v>644</v>
      </c>
      <c r="N539" s="417">
        <v>33.18</v>
      </c>
      <c r="O539" s="417">
        <v>33.18</v>
      </c>
      <c r="P539" s="417"/>
      <c r="Q539" s="595">
        <f t="shared" si="9"/>
        <v>0</v>
      </c>
    </row>
    <row r="540" spans="1:17" s="79" customFormat="1" ht="16.5" hidden="1" outlineLevel="1">
      <c r="A540" s="125" t="s">
        <v>784</v>
      </c>
      <c r="B540" s="391" t="s">
        <v>514</v>
      </c>
      <c r="C540" s="391" t="s">
        <v>388</v>
      </c>
      <c r="D540" s="391" t="s">
        <v>382</v>
      </c>
      <c r="E540" s="391"/>
      <c r="F540" s="391"/>
      <c r="G540" s="391"/>
      <c r="H540" s="391"/>
      <c r="I540" s="391"/>
      <c r="J540" s="391"/>
      <c r="K540" s="391"/>
      <c r="L540" s="391" t="s">
        <v>639</v>
      </c>
      <c r="M540" s="391" t="s">
        <v>645</v>
      </c>
      <c r="N540" s="417">
        <v>61.47</v>
      </c>
      <c r="O540" s="417">
        <v>61.47</v>
      </c>
      <c r="P540" s="417"/>
      <c r="Q540" s="595">
        <f t="shared" si="9"/>
        <v>0</v>
      </c>
    </row>
    <row r="541" spans="1:17" ht="16.5" hidden="1" outlineLevel="1">
      <c r="A541" s="125" t="s">
        <v>785</v>
      </c>
      <c r="B541" s="391" t="s">
        <v>514</v>
      </c>
      <c r="C541" s="391" t="s">
        <v>388</v>
      </c>
      <c r="D541" s="391" t="s">
        <v>382</v>
      </c>
      <c r="E541" s="391"/>
      <c r="F541" s="391"/>
      <c r="G541" s="391"/>
      <c r="H541" s="391"/>
      <c r="I541" s="391"/>
      <c r="J541" s="391"/>
      <c r="K541" s="391"/>
      <c r="L541" s="391" t="s">
        <v>639</v>
      </c>
      <c r="M541" s="391" t="s">
        <v>646</v>
      </c>
      <c r="N541" s="417">
        <v>9.9</v>
      </c>
      <c r="O541" s="417">
        <v>9.9</v>
      </c>
      <c r="P541" s="417"/>
      <c r="Q541" s="595">
        <f t="shared" si="9"/>
        <v>0</v>
      </c>
    </row>
    <row r="542" spans="1:17" ht="16.5" hidden="1" outlineLevel="1">
      <c r="A542" s="125" t="s">
        <v>786</v>
      </c>
      <c r="B542" s="391" t="s">
        <v>514</v>
      </c>
      <c r="C542" s="391" t="s">
        <v>388</v>
      </c>
      <c r="D542" s="391" t="s">
        <v>382</v>
      </c>
      <c r="E542" s="391"/>
      <c r="F542" s="391"/>
      <c r="G542" s="391"/>
      <c r="H542" s="391"/>
      <c r="I542" s="391"/>
      <c r="J542" s="391"/>
      <c r="K542" s="391"/>
      <c r="L542" s="391" t="s">
        <v>639</v>
      </c>
      <c r="M542" s="391" t="s">
        <v>647</v>
      </c>
      <c r="N542" s="417"/>
      <c r="O542" s="417"/>
      <c r="P542" s="417"/>
      <c r="Q542" s="595" t="e">
        <f t="shared" si="9"/>
        <v>#DIV/0!</v>
      </c>
    </row>
    <row r="543" spans="1:17" ht="31.5" hidden="1" outlineLevel="1">
      <c r="A543" s="125" t="s">
        <v>787</v>
      </c>
      <c r="B543" s="391" t="s">
        <v>514</v>
      </c>
      <c r="C543" s="391" t="s">
        <v>388</v>
      </c>
      <c r="D543" s="391" t="s">
        <v>382</v>
      </c>
      <c r="E543" s="391"/>
      <c r="F543" s="391"/>
      <c r="G543" s="391"/>
      <c r="H543" s="391"/>
      <c r="I543" s="391"/>
      <c r="J543" s="391"/>
      <c r="K543" s="391"/>
      <c r="L543" s="391" t="s">
        <v>639</v>
      </c>
      <c r="M543" s="391" t="s">
        <v>648</v>
      </c>
      <c r="N543" s="417">
        <v>12.26</v>
      </c>
      <c r="O543" s="417">
        <v>12.26</v>
      </c>
      <c r="P543" s="417"/>
      <c r="Q543" s="595">
        <f t="shared" si="9"/>
        <v>0</v>
      </c>
    </row>
    <row r="544" spans="1:17" ht="16.5" hidden="1" outlineLevel="1">
      <c r="A544" s="125" t="s">
        <v>510</v>
      </c>
      <c r="B544" s="391" t="s">
        <v>514</v>
      </c>
      <c r="C544" s="391" t="s">
        <v>483</v>
      </c>
      <c r="D544" s="391"/>
      <c r="E544" s="391"/>
      <c r="F544" s="391"/>
      <c r="G544" s="391"/>
      <c r="H544" s="391"/>
      <c r="I544" s="391"/>
      <c r="J544" s="391"/>
      <c r="K544" s="391"/>
      <c r="L544" s="391"/>
      <c r="M544" s="391"/>
      <c r="N544" s="417">
        <v>0</v>
      </c>
      <c r="O544" s="417">
        <v>0</v>
      </c>
      <c r="P544" s="417"/>
      <c r="Q544" s="595" t="e">
        <f t="shared" si="9"/>
        <v>#DIV/0!</v>
      </c>
    </row>
    <row r="545" spans="1:17" ht="16.5" hidden="1" outlineLevel="1">
      <c r="A545" s="125" t="s">
        <v>521</v>
      </c>
      <c r="B545" s="391" t="s">
        <v>514</v>
      </c>
      <c r="C545" s="391" t="s">
        <v>483</v>
      </c>
      <c r="D545" s="391" t="s">
        <v>391</v>
      </c>
      <c r="E545" s="391"/>
      <c r="F545" s="391"/>
      <c r="G545" s="391"/>
      <c r="H545" s="391"/>
      <c r="I545" s="391"/>
      <c r="J545" s="391"/>
      <c r="K545" s="391"/>
      <c r="L545" s="391"/>
      <c r="M545" s="391"/>
      <c r="N545" s="417">
        <v>0</v>
      </c>
      <c r="O545" s="417">
        <v>0</v>
      </c>
      <c r="P545" s="417"/>
      <c r="Q545" s="595" t="e">
        <f t="shared" si="9"/>
        <v>#DIV/0!</v>
      </c>
    </row>
    <row r="546" spans="1:17" s="79" customFormat="1" ht="63" hidden="1" outlineLevel="1">
      <c r="A546" s="125" t="s">
        <v>842</v>
      </c>
      <c r="B546" s="391" t="s">
        <v>514</v>
      </c>
      <c r="C546" s="391" t="s">
        <v>483</v>
      </c>
      <c r="D546" s="391" t="s">
        <v>391</v>
      </c>
      <c r="E546" s="391" t="s">
        <v>843</v>
      </c>
      <c r="F546" s="391"/>
      <c r="G546" s="391"/>
      <c r="H546" s="391"/>
      <c r="I546" s="391"/>
      <c r="J546" s="391"/>
      <c r="K546" s="391"/>
      <c r="L546" s="391" t="s">
        <v>844</v>
      </c>
      <c r="M546" s="391"/>
      <c r="N546" s="417"/>
      <c r="O546" s="417"/>
      <c r="P546" s="417"/>
      <c r="Q546" s="595" t="e">
        <f t="shared" si="9"/>
        <v>#DIV/0!</v>
      </c>
    </row>
    <row r="547" spans="1:17" ht="63" hidden="1" outlineLevel="1">
      <c r="A547" s="125" t="s">
        <v>842</v>
      </c>
      <c r="B547" s="391" t="s">
        <v>514</v>
      </c>
      <c r="C547" s="391" t="s">
        <v>483</v>
      </c>
      <c r="D547" s="391" t="s">
        <v>391</v>
      </c>
      <c r="E547" s="391" t="s">
        <v>845</v>
      </c>
      <c r="F547" s="391"/>
      <c r="G547" s="391"/>
      <c r="H547" s="391"/>
      <c r="I547" s="391"/>
      <c r="J547" s="391"/>
      <c r="K547" s="391"/>
      <c r="L547" s="391" t="s">
        <v>844</v>
      </c>
      <c r="M547" s="391"/>
      <c r="N547" s="417"/>
      <c r="O547" s="417"/>
      <c r="P547" s="417"/>
      <c r="Q547" s="595" t="e">
        <f t="shared" si="9"/>
        <v>#DIV/0!</v>
      </c>
    </row>
    <row r="548" spans="1:17" s="79" customFormat="1" ht="31.5" outlineLevel="1">
      <c r="A548" s="252" t="s">
        <v>893</v>
      </c>
      <c r="B548" s="362" t="s">
        <v>514</v>
      </c>
      <c r="C548" s="358" t="s">
        <v>388</v>
      </c>
      <c r="D548" s="358" t="s">
        <v>382</v>
      </c>
      <c r="E548" s="358" t="s">
        <v>770</v>
      </c>
      <c r="F548" s="358" t="s">
        <v>478</v>
      </c>
      <c r="G548" s="358" t="s">
        <v>789</v>
      </c>
      <c r="H548" s="358" t="s">
        <v>481</v>
      </c>
      <c r="I548" s="358" t="s">
        <v>770</v>
      </c>
      <c r="J548" s="358" t="s">
        <v>528</v>
      </c>
      <c r="K548" s="358" t="s">
        <v>480</v>
      </c>
      <c r="L548" s="362" t="s">
        <v>369</v>
      </c>
      <c r="M548" s="362"/>
      <c r="N548" s="363">
        <v>4875.13</v>
      </c>
      <c r="O548" s="363">
        <v>4838.92</v>
      </c>
      <c r="P548" s="363">
        <v>4666.16</v>
      </c>
      <c r="Q548" s="595">
        <f t="shared" si="9"/>
        <v>0.9642978185214882</v>
      </c>
    </row>
    <row r="549" spans="1:17" s="79" customFormat="1" ht="16.5" hidden="1" outlineLevel="1">
      <c r="A549" s="125" t="s">
        <v>774</v>
      </c>
      <c r="B549" s="391" t="s">
        <v>514</v>
      </c>
      <c r="C549" s="72" t="s">
        <v>388</v>
      </c>
      <c r="D549" s="72" t="s">
        <v>382</v>
      </c>
      <c r="E549" s="72"/>
      <c r="F549" s="72"/>
      <c r="G549" s="72"/>
      <c r="H549" s="72"/>
      <c r="I549" s="72"/>
      <c r="J549" s="72"/>
      <c r="K549" s="72"/>
      <c r="L549" s="391" t="s">
        <v>735</v>
      </c>
      <c r="M549" s="391" t="s">
        <v>636</v>
      </c>
      <c r="N549" s="417">
        <v>3468.96</v>
      </c>
      <c r="O549" s="417">
        <v>3468.96</v>
      </c>
      <c r="P549" s="417"/>
      <c r="Q549" s="595">
        <f t="shared" si="9"/>
        <v>0</v>
      </c>
    </row>
    <row r="550" spans="1:17" ht="16.5" hidden="1" outlineLevel="1">
      <c r="A550" s="125" t="s">
        <v>775</v>
      </c>
      <c r="B550" s="391" t="s">
        <v>514</v>
      </c>
      <c r="C550" s="72" t="s">
        <v>388</v>
      </c>
      <c r="D550" s="72" t="s">
        <v>382</v>
      </c>
      <c r="E550" s="72"/>
      <c r="F550" s="72"/>
      <c r="G550" s="72"/>
      <c r="H550" s="72"/>
      <c r="I550" s="72"/>
      <c r="J550" s="72"/>
      <c r="K550" s="72"/>
      <c r="L550" s="391" t="s">
        <v>735</v>
      </c>
      <c r="M550" s="391" t="s">
        <v>637</v>
      </c>
      <c r="N550" s="417">
        <v>1047.63</v>
      </c>
      <c r="O550" s="417">
        <v>1047.63</v>
      </c>
      <c r="P550" s="417"/>
      <c r="Q550" s="595">
        <f t="shared" si="9"/>
        <v>0</v>
      </c>
    </row>
    <row r="551" spans="1:17" ht="16.5" hidden="1" outlineLevel="1">
      <c r="A551" s="125" t="s">
        <v>784</v>
      </c>
      <c r="B551" s="391" t="s">
        <v>514</v>
      </c>
      <c r="C551" s="72" t="s">
        <v>388</v>
      </c>
      <c r="D551" s="72" t="s">
        <v>382</v>
      </c>
      <c r="E551" s="72"/>
      <c r="F551" s="72"/>
      <c r="G551" s="72"/>
      <c r="H551" s="72"/>
      <c r="I551" s="72"/>
      <c r="J551" s="72"/>
      <c r="K551" s="72"/>
      <c r="L551" s="391" t="s">
        <v>639</v>
      </c>
      <c r="M551" s="391" t="s">
        <v>645</v>
      </c>
      <c r="N551" s="417">
        <v>4</v>
      </c>
      <c r="O551" s="417">
        <v>4</v>
      </c>
      <c r="P551" s="417"/>
      <c r="Q551" s="595">
        <f t="shared" si="9"/>
        <v>0</v>
      </c>
    </row>
    <row r="552" spans="1:17" s="79" customFormat="1" ht="16.5" hidden="1" outlineLevel="1">
      <c r="A552" s="125" t="s">
        <v>786</v>
      </c>
      <c r="B552" s="391" t="s">
        <v>514</v>
      </c>
      <c r="C552" s="72" t="s">
        <v>388</v>
      </c>
      <c r="D552" s="72" t="s">
        <v>382</v>
      </c>
      <c r="E552" s="72"/>
      <c r="F552" s="72"/>
      <c r="G552" s="72"/>
      <c r="H552" s="72"/>
      <c r="I552" s="72"/>
      <c r="J552" s="72"/>
      <c r="K552" s="72"/>
      <c r="L552" s="391" t="s">
        <v>639</v>
      </c>
      <c r="M552" s="391" t="s">
        <v>647</v>
      </c>
      <c r="N552" s="417">
        <v>30</v>
      </c>
      <c r="O552" s="417">
        <v>30</v>
      </c>
      <c r="P552" s="417"/>
      <c r="Q552" s="595">
        <f t="shared" si="9"/>
        <v>0</v>
      </c>
    </row>
    <row r="553" spans="1:17" ht="31.5" hidden="1" outlineLevel="1">
      <c r="A553" s="125" t="s">
        <v>787</v>
      </c>
      <c r="B553" s="391" t="s">
        <v>514</v>
      </c>
      <c r="C553" s="72" t="s">
        <v>388</v>
      </c>
      <c r="D553" s="72" t="s">
        <v>382</v>
      </c>
      <c r="E553" s="72"/>
      <c r="F553" s="72"/>
      <c r="G553" s="72"/>
      <c r="H553" s="72"/>
      <c r="I553" s="72"/>
      <c r="J553" s="72"/>
      <c r="K553" s="72"/>
      <c r="L553" s="391" t="s">
        <v>639</v>
      </c>
      <c r="M553" s="391" t="s">
        <v>648</v>
      </c>
      <c r="N553" s="417">
        <v>10</v>
      </c>
      <c r="O553" s="417">
        <v>10</v>
      </c>
      <c r="P553" s="417"/>
      <c r="Q553" s="595">
        <f t="shared" si="9"/>
        <v>0</v>
      </c>
    </row>
    <row r="554" spans="1:17" s="79" customFormat="1" ht="16.5" outlineLevel="1">
      <c r="A554" s="252" t="s">
        <v>854</v>
      </c>
      <c r="B554" s="362" t="s">
        <v>514</v>
      </c>
      <c r="C554" s="358" t="s">
        <v>388</v>
      </c>
      <c r="D554" s="358" t="s">
        <v>382</v>
      </c>
      <c r="E554" s="358" t="s">
        <v>770</v>
      </c>
      <c r="F554" s="358" t="s">
        <v>478</v>
      </c>
      <c r="G554" s="358" t="s">
        <v>789</v>
      </c>
      <c r="H554" s="358" t="s">
        <v>481</v>
      </c>
      <c r="I554" s="358" t="s">
        <v>770</v>
      </c>
      <c r="J554" s="358" t="s">
        <v>478</v>
      </c>
      <c r="K554" s="358" t="s">
        <v>478</v>
      </c>
      <c r="L554" s="362" t="s">
        <v>369</v>
      </c>
      <c r="M554" s="362"/>
      <c r="N554" s="363">
        <v>144</v>
      </c>
      <c r="O554" s="363">
        <v>231.36</v>
      </c>
      <c r="P554" s="363">
        <v>136.99</v>
      </c>
      <c r="Q554" s="595">
        <f t="shared" si="9"/>
        <v>0.5921075380359613</v>
      </c>
    </row>
    <row r="555" spans="1:17" ht="16.5" hidden="1" outlineLevel="1">
      <c r="A555" s="125" t="s">
        <v>774</v>
      </c>
      <c r="B555" s="391" t="s">
        <v>514</v>
      </c>
      <c r="C555" s="72" t="s">
        <v>388</v>
      </c>
      <c r="D555" s="72" t="s">
        <v>382</v>
      </c>
      <c r="E555" s="72"/>
      <c r="F555" s="72"/>
      <c r="G555" s="72"/>
      <c r="H555" s="72"/>
      <c r="I555" s="72"/>
      <c r="J555" s="72"/>
      <c r="K555" s="72"/>
      <c r="L555" s="391" t="s">
        <v>735</v>
      </c>
      <c r="M555" s="391" t="s">
        <v>636</v>
      </c>
      <c r="N555" s="417">
        <v>505.14</v>
      </c>
      <c r="O555" s="417">
        <v>505.14</v>
      </c>
      <c r="P555" s="417"/>
      <c r="Q555" s="595">
        <f t="shared" si="9"/>
        <v>0</v>
      </c>
    </row>
    <row r="556" spans="1:17" s="79" customFormat="1" ht="16.5" hidden="1" outlineLevel="1">
      <c r="A556" s="125" t="s">
        <v>775</v>
      </c>
      <c r="B556" s="391" t="s">
        <v>514</v>
      </c>
      <c r="C556" s="72" t="s">
        <v>388</v>
      </c>
      <c r="D556" s="72" t="s">
        <v>382</v>
      </c>
      <c r="E556" s="72"/>
      <c r="F556" s="72"/>
      <c r="G556" s="72"/>
      <c r="H556" s="72"/>
      <c r="I556" s="72"/>
      <c r="J556" s="72"/>
      <c r="K556" s="72"/>
      <c r="L556" s="391" t="s">
        <v>735</v>
      </c>
      <c r="M556" s="391" t="s">
        <v>637</v>
      </c>
      <c r="N556" s="417">
        <v>152.55</v>
      </c>
      <c r="O556" s="417">
        <v>152.55</v>
      </c>
      <c r="P556" s="417"/>
      <c r="Q556" s="595">
        <f t="shared" si="9"/>
        <v>0</v>
      </c>
    </row>
    <row r="557" spans="1:17" s="79" customFormat="1" ht="31.5" outlineLevel="1">
      <c r="A557" s="252" t="s">
        <v>894</v>
      </c>
      <c r="B557" s="362" t="s">
        <v>514</v>
      </c>
      <c r="C557" s="358" t="s">
        <v>483</v>
      </c>
      <c r="D557" s="358" t="s">
        <v>387</v>
      </c>
      <c r="E557" s="358" t="s">
        <v>770</v>
      </c>
      <c r="F557" s="358" t="s">
        <v>478</v>
      </c>
      <c r="G557" s="358" t="s">
        <v>789</v>
      </c>
      <c r="H557" s="358" t="s">
        <v>481</v>
      </c>
      <c r="I557" s="358" t="s">
        <v>770</v>
      </c>
      <c r="J557" s="358" t="s">
        <v>478</v>
      </c>
      <c r="K557" s="358" t="s">
        <v>480</v>
      </c>
      <c r="L557" s="362" t="s">
        <v>369</v>
      </c>
      <c r="M557" s="362"/>
      <c r="N557" s="363">
        <v>80.07</v>
      </c>
      <c r="O557" s="363">
        <v>107.6</v>
      </c>
      <c r="P557" s="363">
        <v>107.6</v>
      </c>
      <c r="Q557" s="595">
        <f t="shared" si="9"/>
        <v>1</v>
      </c>
    </row>
    <row r="558" spans="1:17" ht="16.5" hidden="1" outlineLevel="1">
      <c r="A558" s="125" t="s">
        <v>784</v>
      </c>
      <c r="B558" s="391" t="s">
        <v>514</v>
      </c>
      <c r="C558" s="72" t="s">
        <v>388</v>
      </c>
      <c r="D558" s="72" t="s">
        <v>382</v>
      </c>
      <c r="E558" s="72"/>
      <c r="F558" s="72"/>
      <c r="G558" s="72"/>
      <c r="H558" s="72"/>
      <c r="I558" s="72"/>
      <c r="J558" s="72"/>
      <c r="K558" s="72"/>
      <c r="L558" s="391" t="s">
        <v>639</v>
      </c>
      <c r="M558" s="391" t="s">
        <v>645</v>
      </c>
      <c r="N558" s="417"/>
      <c r="O558" s="417"/>
      <c r="P558" s="417"/>
      <c r="Q558" s="595" t="e">
        <f t="shared" si="9"/>
        <v>#DIV/0!</v>
      </c>
    </row>
    <row r="559" spans="1:17" ht="16.5" hidden="1" outlineLevel="1">
      <c r="A559" s="125" t="s">
        <v>855</v>
      </c>
      <c r="B559" s="391" t="s">
        <v>514</v>
      </c>
      <c r="C559" s="72" t="s">
        <v>388</v>
      </c>
      <c r="D559" s="72" t="s">
        <v>382</v>
      </c>
      <c r="E559" s="72"/>
      <c r="F559" s="72"/>
      <c r="G559" s="72"/>
      <c r="H559" s="72"/>
      <c r="I559" s="72"/>
      <c r="J559" s="72"/>
      <c r="K559" s="72"/>
      <c r="L559" s="391" t="s">
        <v>733</v>
      </c>
      <c r="M559" s="391" t="s">
        <v>680</v>
      </c>
      <c r="N559" s="417">
        <v>80.07</v>
      </c>
      <c r="O559" s="417">
        <v>80.07</v>
      </c>
      <c r="P559" s="417"/>
      <c r="Q559" s="595">
        <f t="shared" si="9"/>
        <v>0</v>
      </c>
    </row>
    <row r="560" spans="1:17" s="397" customFormat="1" ht="31.5" customHeight="1" outlineLevel="1">
      <c r="A560" s="252" t="s">
        <v>856</v>
      </c>
      <c r="B560" s="362" t="s">
        <v>514</v>
      </c>
      <c r="C560" s="358" t="s">
        <v>388</v>
      </c>
      <c r="D560" s="358" t="s">
        <v>382</v>
      </c>
      <c r="E560" s="358" t="s">
        <v>770</v>
      </c>
      <c r="F560" s="358" t="s">
        <v>478</v>
      </c>
      <c r="G560" s="358" t="s">
        <v>789</v>
      </c>
      <c r="H560" s="358" t="s">
        <v>481</v>
      </c>
      <c r="I560" s="358" t="s">
        <v>770</v>
      </c>
      <c r="J560" s="358" t="s">
        <v>478</v>
      </c>
      <c r="K560" s="358" t="s">
        <v>481</v>
      </c>
      <c r="L560" s="362" t="s">
        <v>369</v>
      </c>
      <c r="M560" s="362"/>
      <c r="N560" s="363">
        <v>46.74</v>
      </c>
      <c r="O560" s="363">
        <v>49.72</v>
      </c>
      <c r="P560" s="363">
        <v>49.72</v>
      </c>
      <c r="Q560" s="595">
        <f t="shared" si="9"/>
        <v>1</v>
      </c>
    </row>
    <row r="561" spans="1:17" ht="31.5" customHeight="1" hidden="1" outlineLevel="1">
      <c r="A561" s="125" t="s">
        <v>787</v>
      </c>
      <c r="B561" s="391" t="s">
        <v>514</v>
      </c>
      <c r="C561" s="358" t="s">
        <v>388</v>
      </c>
      <c r="D561" s="358" t="s">
        <v>382</v>
      </c>
      <c r="E561" s="358"/>
      <c r="F561" s="358"/>
      <c r="G561" s="358"/>
      <c r="H561" s="358"/>
      <c r="I561" s="358"/>
      <c r="J561" s="358"/>
      <c r="K561" s="358"/>
      <c r="L561" s="391" t="s">
        <v>639</v>
      </c>
      <c r="M561" s="391" t="s">
        <v>648</v>
      </c>
      <c r="N561" s="417">
        <v>46.74</v>
      </c>
      <c r="O561" s="417">
        <v>46.74</v>
      </c>
      <c r="P561" s="417"/>
      <c r="Q561" s="595">
        <f t="shared" si="9"/>
        <v>0</v>
      </c>
    </row>
    <row r="562" spans="1:17" s="79" customFormat="1" ht="31.5" outlineLevel="1">
      <c r="A562" s="252" t="s">
        <v>857</v>
      </c>
      <c r="B562" s="358" t="s">
        <v>514</v>
      </c>
      <c r="C562" s="358" t="s">
        <v>388</v>
      </c>
      <c r="D562" s="358" t="s">
        <v>382</v>
      </c>
      <c r="E562" s="72" t="s">
        <v>770</v>
      </c>
      <c r="F562" s="72" t="s">
        <v>528</v>
      </c>
      <c r="G562" s="72" t="s">
        <v>478</v>
      </c>
      <c r="H562" s="72" t="s">
        <v>770</v>
      </c>
      <c r="I562" s="72" t="s">
        <v>528</v>
      </c>
      <c r="J562" s="72" t="s">
        <v>770</v>
      </c>
      <c r="K562" s="72" t="s">
        <v>479</v>
      </c>
      <c r="L562" s="362" t="s">
        <v>369</v>
      </c>
      <c r="M562" s="362"/>
      <c r="N562" s="363">
        <f>44.57+4.4</f>
        <v>48.97</v>
      </c>
      <c r="O562" s="363">
        <v>195.02</v>
      </c>
      <c r="P562" s="363">
        <v>195.02</v>
      </c>
      <c r="Q562" s="595">
        <f t="shared" si="9"/>
        <v>1</v>
      </c>
    </row>
    <row r="563" spans="1:17" ht="31.5" hidden="1" outlineLevel="1">
      <c r="A563" s="125" t="s">
        <v>787</v>
      </c>
      <c r="B563" s="72" t="s">
        <v>514</v>
      </c>
      <c r="C563" s="72" t="s">
        <v>388</v>
      </c>
      <c r="D563" s="72" t="s">
        <v>382</v>
      </c>
      <c r="E563" s="72"/>
      <c r="F563" s="72"/>
      <c r="G563" s="72"/>
      <c r="H563" s="72"/>
      <c r="I563" s="72"/>
      <c r="J563" s="72"/>
      <c r="K563" s="72"/>
      <c r="L563" s="391" t="s">
        <v>639</v>
      </c>
      <c r="M563" s="391" t="s">
        <v>648</v>
      </c>
      <c r="N563" s="417">
        <v>44.57</v>
      </c>
      <c r="O563" s="417">
        <v>44.57</v>
      </c>
      <c r="P563" s="417"/>
      <c r="Q563" s="595">
        <f t="shared" si="9"/>
        <v>0</v>
      </c>
    </row>
    <row r="564" spans="1:17" s="79" customFormat="1" ht="31.5" outlineLevel="1">
      <c r="A564" s="252" t="s">
        <v>895</v>
      </c>
      <c r="B564" s="358" t="s">
        <v>514</v>
      </c>
      <c r="C564" s="358" t="s">
        <v>388</v>
      </c>
      <c r="D564" s="358" t="s">
        <v>382</v>
      </c>
      <c r="E564" s="72" t="s">
        <v>770</v>
      </c>
      <c r="F564" s="72" t="s">
        <v>528</v>
      </c>
      <c r="G564" s="72" t="s">
        <v>478</v>
      </c>
      <c r="H564" s="72" t="s">
        <v>770</v>
      </c>
      <c r="I564" s="72" t="s">
        <v>528</v>
      </c>
      <c r="J564" s="72" t="s">
        <v>770</v>
      </c>
      <c r="K564" s="72" t="s">
        <v>480</v>
      </c>
      <c r="L564" s="362" t="s">
        <v>369</v>
      </c>
      <c r="M564" s="362"/>
      <c r="N564" s="363">
        <f>219+89.22</f>
        <v>308.22</v>
      </c>
      <c r="O564" s="363">
        <v>273.76</v>
      </c>
      <c r="P564" s="363">
        <v>273.76</v>
      </c>
      <c r="Q564" s="595">
        <f t="shared" si="9"/>
        <v>1</v>
      </c>
    </row>
    <row r="565" spans="1:17" ht="16.5" hidden="1" outlineLevel="1">
      <c r="A565" s="125" t="s">
        <v>774</v>
      </c>
      <c r="B565" s="391" t="s">
        <v>514</v>
      </c>
      <c r="C565" s="391" t="s">
        <v>388</v>
      </c>
      <c r="D565" s="391" t="s">
        <v>382</v>
      </c>
      <c r="E565" s="391"/>
      <c r="F565" s="391"/>
      <c r="G565" s="391"/>
      <c r="H565" s="391"/>
      <c r="I565" s="391"/>
      <c r="J565" s="391"/>
      <c r="K565" s="391"/>
      <c r="L565" s="391" t="s">
        <v>639</v>
      </c>
      <c r="M565" s="391" t="s">
        <v>636</v>
      </c>
      <c r="N565" s="417">
        <v>75.96</v>
      </c>
      <c r="O565" s="417">
        <v>75.96</v>
      </c>
      <c r="P565" s="417"/>
      <c r="Q565" s="595">
        <f t="shared" si="9"/>
        <v>0</v>
      </c>
    </row>
    <row r="566" spans="1:17" ht="16.5" hidden="1" outlineLevel="1">
      <c r="A566" s="125" t="s">
        <v>775</v>
      </c>
      <c r="B566" s="391" t="s">
        <v>514</v>
      </c>
      <c r="C566" s="391" t="s">
        <v>388</v>
      </c>
      <c r="D566" s="391" t="s">
        <v>382</v>
      </c>
      <c r="E566" s="391"/>
      <c r="F566" s="391"/>
      <c r="G566" s="391"/>
      <c r="H566" s="391"/>
      <c r="I566" s="391"/>
      <c r="J566" s="391"/>
      <c r="K566" s="391"/>
      <c r="L566" s="391" t="s">
        <v>639</v>
      </c>
      <c r="M566" s="391" t="s">
        <v>637</v>
      </c>
      <c r="N566" s="417">
        <v>22.94</v>
      </c>
      <c r="O566" s="417">
        <v>22.94</v>
      </c>
      <c r="P566" s="417"/>
      <c r="Q566" s="595">
        <f t="shared" si="9"/>
        <v>0</v>
      </c>
    </row>
    <row r="567" spans="1:17" ht="31.5" hidden="1" outlineLevel="1">
      <c r="A567" s="125" t="s">
        <v>787</v>
      </c>
      <c r="B567" s="391" t="s">
        <v>514</v>
      </c>
      <c r="C567" s="391" t="s">
        <v>388</v>
      </c>
      <c r="D567" s="391" t="s">
        <v>382</v>
      </c>
      <c r="E567" s="391"/>
      <c r="F567" s="391"/>
      <c r="G567" s="391"/>
      <c r="H567" s="391"/>
      <c r="I567" s="391"/>
      <c r="J567" s="391"/>
      <c r="K567" s="391"/>
      <c r="L567" s="391" t="s">
        <v>639</v>
      </c>
      <c r="M567" s="391" t="s">
        <v>648</v>
      </c>
      <c r="N567" s="417">
        <v>120</v>
      </c>
      <c r="O567" s="417">
        <v>120</v>
      </c>
      <c r="P567" s="417"/>
      <c r="Q567" s="595">
        <f t="shared" si="9"/>
        <v>0</v>
      </c>
    </row>
    <row r="568" spans="1:17" ht="61.5" customHeight="1" outlineLevel="1">
      <c r="A568" s="125" t="s">
        <v>952</v>
      </c>
      <c r="B568" s="391" t="s">
        <v>514</v>
      </c>
      <c r="C568" s="391" t="s">
        <v>388</v>
      </c>
      <c r="D568" s="391" t="s">
        <v>382</v>
      </c>
      <c r="E568" s="391" t="s">
        <v>552</v>
      </c>
      <c r="F568" s="391" t="s">
        <v>552</v>
      </c>
      <c r="G568" s="391" t="s">
        <v>528</v>
      </c>
      <c r="H568" s="391" t="s">
        <v>552</v>
      </c>
      <c r="I568" s="391" t="s">
        <v>770</v>
      </c>
      <c r="J568" s="391" t="s">
        <v>770</v>
      </c>
      <c r="K568" s="391" t="s">
        <v>528</v>
      </c>
      <c r="L568" s="391" t="s">
        <v>778</v>
      </c>
      <c r="M568" s="391"/>
      <c r="N568" s="417">
        <v>0</v>
      </c>
      <c r="O568" s="417">
        <v>110</v>
      </c>
      <c r="P568" s="417">
        <v>110</v>
      </c>
      <c r="Q568" s="595">
        <f t="shared" si="9"/>
        <v>1</v>
      </c>
    </row>
    <row r="569" spans="1:17" ht="60" outlineLevel="1">
      <c r="A569" s="62" t="s">
        <v>580</v>
      </c>
      <c r="B569" s="74" t="s">
        <v>514</v>
      </c>
      <c r="C569" s="74" t="s">
        <v>391</v>
      </c>
      <c r="D569" s="74" t="s">
        <v>385</v>
      </c>
      <c r="E569" s="74" t="s">
        <v>770</v>
      </c>
      <c r="F569" s="74" t="s">
        <v>546</v>
      </c>
      <c r="G569" s="74" t="s">
        <v>479</v>
      </c>
      <c r="H569" s="74" t="s">
        <v>770</v>
      </c>
      <c r="I569" s="74" t="s">
        <v>546</v>
      </c>
      <c r="J569" s="74" t="s">
        <v>770</v>
      </c>
      <c r="K569" s="74" t="s">
        <v>479</v>
      </c>
      <c r="L569" s="74" t="s">
        <v>369</v>
      </c>
      <c r="M569" s="74"/>
      <c r="N569" s="566"/>
      <c r="O569" s="567">
        <v>0</v>
      </c>
      <c r="P569" s="567"/>
      <c r="Q569" s="595" t="e">
        <f t="shared" si="9"/>
        <v>#DIV/0!</v>
      </c>
    </row>
    <row r="570" spans="1:17" ht="45" outlineLevel="1">
      <c r="A570" s="51" t="s">
        <v>866</v>
      </c>
      <c r="B570" s="73" t="s">
        <v>514</v>
      </c>
      <c r="C570" s="73" t="s">
        <v>388</v>
      </c>
      <c r="D570" s="73" t="s">
        <v>385</v>
      </c>
      <c r="E570" s="391" t="s">
        <v>770</v>
      </c>
      <c r="F570" s="391" t="s">
        <v>528</v>
      </c>
      <c r="G570" s="391" t="s">
        <v>546</v>
      </c>
      <c r="H570" s="391" t="s">
        <v>770</v>
      </c>
      <c r="I570" s="391" t="s">
        <v>528</v>
      </c>
      <c r="J570" s="391" t="s">
        <v>770</v>
      </c>
      <c r="K570" s="391" t="s">
        <v>546</v>
      </c>
      <c r="L570" s="73" t="s">
        <v>778</v>
      </c>
      <c r="M570" s="73"/>
      <c r="N570" s="371"/>
      <c r="O570" s="371">
        <v>5</v>
      </c>
      <c r="P570" s="371">
        <v>5</v>
      </c>
      <c r="Q570" s="595">
        <f t="shared" si="9"/>
        <v>1</v>
      </c>
    </row>
    <row r="571" spans="1:17" ht="20.25" customHeight="1" outlineLevel="1">
      <c r="A571" s="51" t="s">
        <v>1015</v>
      </c>
      <c r="B571" s="73" t="s">
        <v>514</v>
      </c>
      <c r="C571" s="73" t="s">
        <v>388</v>
      </c>
      <c r="D571" s="73" t="s">
        <v>388</v>
      </c>
      <c r="E571" s="391" t="s">
        <v>770</v>
      </c>
      <c r="F571" s="391" t="s">
        <v>528</v>
      </c>
      <c r="G571" s="391" t="s">
        <v>479</v>
      </c>
      <c r="H571" s="391" t="s">
        <v>770</v>
      </c>
      <c r="I571" s="391" t="s">
        <v>528</v>
      </c>
      <c r="J571" s="391" t="s">
        <v>770</v>
      </c>
      <c r="K571" s="391" t="s">
        <v>479</v>
      </c>
      <c r="L571" s="73" t="s">
        <v>773</v>
      </c>
      <c r="M571" s="73"/>
      <c r="N571" s="371"/>
      <c r="O571" s="371">
        <v>7.4</v>
      </c>
      <c r="P571" s="371">
        <v>7.4</v>
      </c>
      <c r="Q571" s="595">
        <f t="shared" si="9"/>
        <v>1</v>
      </c>
    </row>
    <row r="572" spans="1:17" s="397" customFormat="1" ht="39.75" customHeight="1" outlineLevel="1">
      <c r="A572" s="418" t="s">
        <v>897</v>
      </c>
      <c r="B572" s="419" t="s">
        <v>514</v>
      </c>
      <c r="C572" s="419"/>
      <c r="D572" s="419"/>
      <c r="E572" s="419"/>
      <c r="F572" s="419"/>
      <c r="G572" s="419"/>
      <c r="H572" s="419"/>
      <c r="I572" s="419"/>
      <c r="J572" s="419"/>
      <c r="K572" s="419"/>
      <c r="L572" s="419"/>
      <c r="M572" s="419"/>
      <c r="N572" s="420">
        <f>N576+N580+N594+N600+N603+N606+N608+N610</f>
        <v>9993.58</v>
      </c>
      <c r="O572" s="420">
        <f>O576+O580+O594+O600+O603+O606+O608+O610+O614+O615+O616</f>
        <v>9944.27</v>
      </c>
      <c r="P572" s="420">
        <f>P576+P580+P594+P600+P603+P606+P608+P610+P614+P615+P616</f>
        <v>9771.51</v>
      </c>
      <c r="Q572" s="595">
        <f t="shared" si="9"/>
        <v>0.9826271812812806</v>
      </c>
    </row>
    <row r="573" spans="1:17" ht="16.5" outlineLevel="1">
      <c r="A573" s="125" t="s">
        <v>509</v>
      </c>
      <c r="B573" s="391" t="s">
        <v>514</v>
      </c>
      <c r="C573" s="391" t="s">
        <v>388</v>
      </c>
      <c r="D573" s="391"/>
      <c r="E573" s="391"/>
      <c r="F573" s="391"/>
      <c r="G573" s="391"/>
      <c r="H573" s="391"/>
      <c r="I573" s="391"/>
      <c r="J573" s="391"/>
      <c r="K573" s="391"/>
      <c r="L573" s="391"/>
      <c r="M573" s="391"/>
      <c r="N573" s="417">
        <v>9850.6</v>
      </c>
      <c r="O573" s="417">
        <f>O574</f>
        <v>9944.27</v>
      </c>
      <c r="P573" s="417">
        <f>P574</f>
        <v>9771.51</v>
      </c>
      <c r="Q573" s="595">
        <f t="shared" si="9"/>
        <v>0.9826271812812806</v>
      </c>
    </row>
    <row r="574" spans="1:17" ht="16.5" outlineLevel="1">
      <c r="A574" s="125" t="s">
        <v>512</v>
      </c>
      <c r="B574" s="391" t="s">
        <v>514</v>
      </c>
      <c r="C574" s="391" t="s">
        <v>388</v>
      </c>
      <c r="D574" s="391" t="s">
        <v>382</v>
      </c>
      <c r="E574" s="391"/>
      <c r="F574" s="391"/>
      <c r="G574" s="391"/>
      <c r="H574" s="391"/>
      <c r="I574" s="391"/>
      <c r="J574" s="391"/>
      <c r="K574" s="391"/>
      <c r="L574" s="391"/>
      <c r="M574" s="391"/>
      <c r="N574" s="417">
        <v>9850.6</v>
      </c>
      <c r="O574" s="417">
        <f>O575+O594+O600+O603+O606+O608+O610+O614+O615+O616</f>
        <v>9944.27</v>
      </c>
      <c r="P574" s="417">
        <f>P575+P594+P600+P603+P606+P608+P610+P614+P615+P616</f>
        <v>9771.51</v>
      </c>
      <c r="Q574" s="595">
        <f t="shared" si="9"/>
        <v>0.9826271812812806</v>
      </c>
    </row>
    <row r="575" spans="1:17" ht="47.25" outlineLevel="1">
      <c r="A575" s="125" t="s">
        <v>892</v>
      </c>
      <c r="B575" s="391" t="s">
        <v>514</v>
      </c>
      <c r="C575" s="391" t="s">
        <v>388</v>
      </c>
      <c r="D575" s="391" t="s">
        <v>382</v>
      </c>
      <c r="E575" s="391" t="s">
        <v>770</v>
      </c>
      <c r="F575" s="391" t="s">
        <v>528</v>
      </c>
      <c r="G575" s="391"/>
      <c r="H575" s="391"/>
      <c r="I575" s="391"/>
      <c r="J575" s="391"/>
      <c r="K575" s="391"/>
      <c r="L575" s="391" t="s">
        <v>369</v>
      </c>
      <c r="M575" s="391"/>
      <c r="N575" s="417">
        <f>N576+N580</f>
        <v>2079.88</v>
      </c>
      <c r="O575" s="417">
        <f>O576+O580</f>
        <v>1377.65</v>
      </c>
      <c r="P575" s="417">
        <f>P576+P580</f>
        <v>1377.65</v>
      </c>
      <c r="Q575" s="595">
        <f t="shared" si="9"/>
        <v>1</v>
      </c>
    </row>
    <row r="576" spans="1:17" ht="31.5" outlineLevel="1">
      <c r="A576" s="125" t="s">
        <v>850</v>
      </c>
      <c r="B576" s="391" t="s">
        <v>514</v>
      </c>
      <c r="C576" s="391" t="s">
        <v>388</v>
      </c>
      <c r="D576" s="391" t="s">
        <v>382</v>
      </c>
      <c r="E576" s="391" t="s">
        <v>770</v>
      </c>
      <c r="F576" s="391" t="s">
        <v>528</v>
      </c>
      <c r="G576" s="391" t="s">
        <v>478</v>
      </c>
      <c r="H576" s="391" t="s">
        <v>770</v>
      </c>
      <c r="I576" s="391" t="s">
        <v>528</v>
      </c>
      <c r="J576" s="391" t="s">
        <v>770</v>
      </c>
      <c r="K576" s="391" t="s">
        <v>528</v>
      </c>
      <c r="L576" s="391" t="s">
        <v>773</v>
      </c>
      <c r="M576" s="391"/>
      <c r="N576" s="417">
        <v>487.3</v>
      </c>
      <c r="O576" s="417">
        <v>522.39</v>
      </c>
      <c r="P576" s="417">
        <v>522.39</v>
      </c>
      <c r="Q576" s="595">
        <f t="shared" si="9"/>
        <v>1</v>
      </c>
    </row>
    <row r="577" spans="1:17" ht="16.5" hidden="1" outlineLevel="1">
      <c r="A577" s="125" t="s">
        <v>774</v>
      </c>
      <c r="B577" s="391" t="s">
        <v>514</v>
      </c>
      <c r="C577" s="391" t="s">
        <v>388</v>
      </c>
      <c r="D577" s="391" t="s">
        <v>382</v>
      </c>
      <c r="E577" s="391"/>
      <c r="F577" s="391"/>
      <c r="G577" s="391"/>
      <c r="H577" s="391"/>
      <c r="I577" s="391"/>
      <c r="J577" s="391"/>
      <c r="K577" s="391"/>
      <c r="L577" s="391" t="s">
        <v>735</v>
      </c>
      <c r="M577" s="391" t="s">
        <v>636</v>
      </c>
      <c r="N577" s="417">
        <v>121.74</v>
      </c>
      <c r="O577" s="417">
        <v>121.74</v>
      </c>
      <c r="P577" s="417"/>
      <c r="Q577" s="595">
        <f t="shared" si="9"/>
        <v>0</v>
      </c>
    </row>
    <row r="578" spans="1:17" ht="16.5" hidden="1" outlineLevel="1">
      <c r="A578" s="125" t="s">
        <v>776</v>
      </c>
      <c r="B578" s="391" t="s">
        <v>514</v>
      </c>
      <c r="C578" s="391" t="s">
        <v>388</v>
      </c>
      <c r="D578" s="391" t="s">
        <v>382</v>
      </c>
      <c r="E578" s="391"/>
      <c r="F578" s="391"/>
      <c r="G578" s="391"/>
      <c r="H578" s="391"/>
      <c r="I578" s="391"/>
      <c r="J578" s="391"/>
      <c r="K578" s="391"/>
      <c r="L578" s="391" t="s">
        <v>676</v>
      </c>
      <c r="M578" s="391" t="s">
        <v>660</v>
      </c>
      <c r="N578" s="417">
        <v>20.1</v>
      </c>
      <c r="O578" s="417">
        <v>20.1</v>
      </c>
      <c r="P578" s="417"/>
      <c r="Q578" s="595">
        <f t="shared" si="9"/>
        <v>0</v>
      </c>
    </row>
    <row r="579" spans="1:17" ht="16.5" hidden="1" outlineLevel="1">
      <c r="A579" s="125" t="s">
        <v>775</v>
      </c>
      <c r="B579" s="391" t="s">
        <v>514</v>
      </c>
      <c r="C579" s="391" t="s">
        <v>388</v>
      </c>
      <c r="D579" s="391" t="s">
        <v>382</v>
      </c>
      <c r="E579" s="391"/>
      <c r="F579" s="391"/>
      <c r="G579" s="391"/>
      <c r="H579" s="391"/>
      <c r="I579" s="391"/>
      <c r="J579" s="391"/>
      <c r="K579" s="391"/>
      <c r="L579" s="391" t="s">
        <v>735</v>
      </c>
      <c r="M579" s="391" t="s">
        <v>637</v>
      </c>
      <c r="N579" s="417">
        <v>36.77</v>
      </c>
      <c r="O579" s="417">
        <v>36.77</v>
      </c>
      <c r="P579" s="417"/>
      <c r="Q579" s="595">
        <f t="shared" si="9"/>
        <v>0</v>
      </c>
    </row>
    <row r="580" spans="1:17" ht="31.5" outlineLevel="1">
      <c r="A580" s="125" t="s">
        <v>777</v>
      </c>
      <c r="B580" s="391" t="s">
        <v>514</v>
      </c>
      <c r="C580" s="391" t="s">
        <v>388</v>
      </c>
      <c r="D580" s="391" t="s">
        <v>382</v>
      </c>
      <c r="E580" s="391" t="s">
        <v>770</v>
      </c>
      <c r="F580" s="391" t="s">
        <v>528</v>
      </c>
      <c r="G580" s="391" t="s">
        <v>478</v>
      </c>
      <c r="H580" s="391" t="s">
        <v>770</v>
      </c>
      <c r="I580" s="391" t="s">
        <v>528</v>
      </c>
      <c r="J580" s="391" t="s">
        <v>770</v>
      </c>
      <c r="K580" s="391" t="s">
        <v>478</v>
      </c>
      <c r="L580" s="391" t="s">
        <v>778</v>
      </c>
      <c r="M580" s="391"/>
      <c r="N580" s="417">
        <v>1592.58</v>
      </c>
      <c r="O580" s="417">
        <v>855.26</v>
      </c>
      <c r="P580" s="417">
        <v>855.26</v>
      </c>
      <c r="Q580" s="595">
        <f t="shared" si="9"/>
        <v>1</v>
      </c>
    </row>
    <row r="581" spans="1:17" ht="16.5" hidden="1" outlineLevel="1">
      <c r="A581" s="125" t="s">
        <v>779</v>
      </c>
      <c r="B581" s="391" t="s">
        <v>514</v>
      </c>
      <c r="C581" s="391" t="s">
        <v>388</v>
      </c>
      <c r="D581" s="391" t="s">
        <v>382</v>
      </c>
      <c r="E581" s="391"/>
      <c r="F581" s="391"/>
      <c r="G581" s="391"/>
      <c r="H581" s="391"/>
      <c r="I581" s="391"/>
      <c r="J581" s="391"/>
      <c r="K581" s="391"/>
      <c r="L581" s="391" t="s">
        <v>639</v>
      </c>
      <c r="M581" s="391" t="s">
        <v>640</v>
      </c>
      <c r="N581" s="417">
        <v>12.4</v>
      </c>
      <c r="O581" s="417">
        <v>12.4</v>
      </c>
      <c r="P581" s="417"/>
      <c r="Q581" s="595">
        <f t="shared" si="9"/>
        <v>0</v>
      </c>
    </row>
    <row r="582" spans="1:17" ht="16.5" hidden="1" outlineLevel="1">
      <c r="A582" s="125" t="s">
        <v>780</v>
      </c>
      <c r="B582" s="391" t="s">
        <v>514</v>
      </c>
      <c r="C582" s="391" t="s">
        <v>388</v>
      </c>
      <c r="D582" s="391" t="s">
        <v>382</v>
      </c>
      <c r="E582" s="391"/>
      <c r="F582" s="391"/>
      <c r="G582" s="391"/>
      <c r="H582" s="391"/>
      <c r="I582" s="391"/>
      <c r="J582" s="391"/>
      <c r="K582" s="391"/>
      <c r="L582" s="391" t="s">
        <v>639</v>
      </c>
      <c r="M582" s="391" t="s">
        <v>641</v>
      </c>
      <c r="N582" s="417"/>
      <c r="O582" s="417"/>
      <c r="P582" s="417"/>
      <c r="Q582" s="595" t="e">
        <f t="shared" si="9"/>
        <v>#DIV/0!</v>
      </c>
    </row>
    <row r="583" spans="1:17" ht="16.5" hidden="1" outlineLevel="1">
      <c r="A583" s="125" t="s">
        <v>781</v>
      </c>
      <c r="B583" s="391" t="s">
        <v>514</v>
      </c>
      <c r="C583" s="391" t="s">
        <v>388</v>
      </c>
      <c r="D583" s="391" t="s">
        <v>382</v>
      </c>
      <c r="E583" s="391"/>
      <c r="F583" s="391"/>
      <c r="G583" s="391"/>
      <c r="H583" s="391"/>
      <c r="I583" s="391"/>
      <c r="J583" s="391"/>
      <c r="K583" s="391"/>
      <c r="L583" s="391" t="s">
        <v>639</v>
      </c>
      <c r="M583" s="391" t="s">
        <v>642</v>
      </c>
      <c r="N583" s="417">
        <v>1175.57</v>
      </c>
      <c r="O583" s="417">
        <v>1175.57</v>
      </c>
      <c r="P583" s="417"/>
      <c r="Q583" s="595">
        <f t="shared" si="9"/>
        <v>0</v>
      </c>
    </row>
    <row r="584" spans="1:17" ht="16.5" hidden="1" outlineLevel="1">
      <c r="A584" s="125" t="s">
        <v>782</v>
      </c>
      <c r="B584" s="391" t="s">
        <v>514</v>
      </c>
      <c r="C584" s="391" t="s">
        <v>388</v>
      </c>
      <c r="D584" s="391" t="s">
        <v>382</v>
      </c>
      <c r="E584" s="391"/>
      <c r="F584" s="391"/>
      <c r="G584" s="391"/>
      <c r="H584" s="391"/>
      <c r="I584" s="391"/>
      <c r="J584" s="391"/>
      <c r="K584" s="391"/>
      <c r="L584" s="391" t="s">
        <v>639</v>
      </c>
      <c r="M584" s="391" t="s">
        <v>643</v>
      </c>
      <c r="N584" s="417"/>
      <c r="O584" s="417"/>
      <c r="P584" s="417"/>
      <c r="Q584" s="595" t="e">
        <f t="shared" si="9"/>
        <v>#DIV/0!</v>
      </c>
    </row>
    <row r="585" spans="1:17" ht="16.5" hidden="1" outlineLevel="1">
      <c r="A585" s="125" t="s">
        <v>783</v>
      </c>
      <c r="B585" s="391" t="s">
        <v>514</v>
      </c>
      <c r="C585" s="391" t="s">
        <v>388</v>
      </c>
      <c r="D585" s="391" t="s">
        <v>382</v>
      </c>
      <c r="E585" s="391"/>
      <c r="F585" s="391"/>
      <c r="G585" s="391"/>
      <c r="H585" s="391"/>
      <c r="I585" s="391"/>
      <c r="J585" s="391"/>
      <c r="K585" s="391"/>
      <c r="L585" s="391" t="s">
        <v>639</v>
      </c>
      <c r="M585" s="391" t="s">
        <v>644</v>
      </c>
      <c r="N585" s="417">
        <v>72.61</v>
      </c>
      <c r="O585" s="417">
        <v>72.61</v>
      </c>
      <c r="P585" s="417"/>
      <c r="Q585" s="595">
        <f t="shared" si="9"/>
        <v>0</v>
      </c>
    </row>
    <row r="586" spans="1:17" ht="16.5" hidden="1" outlineLevel="1">
      <c r="A586" s="125" t="s">
        <v>784</v>
      </c>
      <c r="B586" s="391" t="s">
        <v>514</v>
      </c>
      <c r="C586" s="391" t="s">
        <v>388</v>
      </c>
      <c r="D586" s="391" t="s">
        <v>382</v>
      </c>
      <c r="E586" s="391"/>
      <c r="F586" s="391"/>
      <c r="G586" s="391"/>
      <c r="H586" s="391"/>
      <c r="I586" s="391"/>
      <c r="J586" s="391"/>
      <c r="K586" s="391"/>
      <c r="L586" s="391" t="s">
        <v>639</v>
      </c>
      <c r="M586" s="391" t="s">
        <v>645</v>
      </c>
      <c r="N586" s="417">
        <v>126.99</v>
      </c>
      <c r="O586" s="417">
        <v>126.99</v>
      </c>
      <c r="P586" s="417"/>
      <c r="Q586" s="595">
        <f t="shared" si="9"/>
        <v>0</v>
      </c>
    </row>
    <row r="587" spans="1:17" ht="16.5" hidden="1" outlineLevel="1">
      <c r="A587" s="125" t="s">
        <v>785</v>
      </c>
      <c r="B587" s="391" t="s">
        <v>514</v>
      </c>
      <c r="C587" s="391" t="s">
        <v>388</v>
      </c>
      <c r="D587" s="391" t="s">
        <v>382</v>
      </c>
      <c r="E587" s="391"/>
      <c r="F587" s="391"/>
      <c r="G587" s="391"/>
      <c r="H587" s="391"/>
      <c r="I587" s="391"/>
      <c r="J587" s="391"/>
      <c r="K587" s="391"/>
      <c r="L587" s="391" t="s">
        <v>639</v>
      </c>
      <c r="M587" s="391" t="s">
        <v>646</v>
      </c>
      <c r="N587" s="417">
        <v>30</v>
      </c>
      <c r="O587" s="417">
        <v>30</v>
      </c>
      <c r="P587" s="417"/>
      <c r="Q587" s="595">
        <f t="shared" si="9"/>
        <v>0</v>
      </c>
    </row>
    <row r="588" spans="1:17" ht="16.5" hidden="1" outlineLevel="1">
      <c r="A588" s="125" t="s">
        <v>786</v>
      </c>
      <c r="B588" s="391" t="s">
        <v>514</v>
      </c>
      <c r="C588" s="391" t="s">
        <v>388</v>
      </c>
      <c r="D588" s="391" t="s">
        <v>382</v>
      </c>
      <c r="E588" s="391"/>
      <c r="F588" s="391"/>
      <c r="G588" s="391"/>
      <c r="H588" s="391"/>
      <c r="I588" s="391"/>
      <c r="J588" s="391"/>
      <c r="K588" s="391"/>
      <c r="L588" s="391" t="s">
        <v>639</v>
      </c>
      <c r="M588" s="391" t="s">
        <v>647</v>
      </c>
      <c r="N588" s="417">
        <v>81.21</v>
      </c>
      <c r="O588" s="417">
        <v>81.21</v>
      </c>
      <c r="P588" s="417"/>
      <c r="Q588" s="595">
        <f aca="true" t="shared" si="10" ref="Q588:Q651">P588/O588</f>
        <v>0</v>
      </c>
    </row>
    <row r="589" spans="1:17" ht="31.5" hidden="1" outlineLevel="1">
      <c r="A589" s="125" t="s">
        <v>787</v>
      </c>
      <c r="B589" s="391" t="s">
        <v>514</v>
      </c>
      <c r="C589" s="391" t="s">
        <v>388</v>
      </c>
      <c r="D589" s="391" t="s">
        <v>382</v>
      </c>
      <c r="E589" s="391"/>
      <c r="F589" s="391"/>
      <c r="G589" s="391"/>
      <c r="H589" s="391"/>
      <c r="I589" s="391"/>
      <c r="J589" s="391"/>
      <c r="K589" s="391"/>
      <c r="L589" s="391" t="s">
        <v>639</v>
      </c>
      <c r="M589" s="391" t="s">
        <v>648</v>
      </c>
      <c r="N589" s="417">
        <v>93.8</v>
      </c>
      <c r="O589" s="417">
        <v>93.8</v>
      </c>
      <c r="P589" s="417"/>
      <c r="Q589" s="595">
        <f t="shared" si="10"/>
        <v>0</v>
      </c>
    </row>
    <row r="590" spans="1:17" ht="16.5" hidden="1" outlineLevel="1">
      <c r="A590" s="125" t="s">
        <v>510</v>
      </c>
      <c r="B590" s="391" t="s">
        <v>514</v>
      </c>
      <c r="C590" s="391" t="s">
        <v>483</v>
      </c>
      <c r="D590" s="391"/>
      <c r="E590" s="391"/>
      <c r="F590" s="391"/>
      <c r="G590" s="391"/>
      <c r="H590" s="391"/>
      <c r="I590" s="391"/>
      <c r="J590" s="391"/>
      <c r="K590" s="391"/>
      <c r="L590" s="391"/>
      <c r="M590" s="391"/>
      <c r="N590" s="417">
        <v>0</v>
      </c>
      <c r="O590" s="417">
        <v>0</v>
      </c>
      <c r="P590" s="417"/>
      <c r="Q590" s="595" t="e">
        <f t="shared" si="10"/>
        <v>#DIV/0!</v>
      </c>
    </row>
    <row r="591" spans="1:17" ht="16.5" hidden="1" outlineLevel="1">
      <c r="A591" s="125" t="s">
        <v>521</v>
      </c>
      <c r="B591" s="391" t="s">
        <v>514</v>
      </c>
      <c r="C591" s="391" t="s">
        <v>483</v>
      </c>
      <c r="D591" s="391" t="s">
        <v>391</v>
      </c>
      <c r="E591" s="391"/>
      <c r="F591" s="391"/>
      <c r="G591" s="391"/>
      <c r="H591" s="391"/>
      <c r="I591" s="391"/>
      <c r="J591" s="391"/>
      <c r="K591" s="391"/>
      <c r="L591" s="391"/>
      <c r="M591" s="391"/>
      <c r="N591" s="417">
        <v>0</v>
      </c>
      <c r="O591" s="417">
        <v>0</v>
      </c>
      <c r="P591" s="417"/>
      <c r="Q591" s="595" t="e">
        <f t="shared" si="10"/>
        <v>#DIV/0!</v>
      </c>
    </row>
    <row r="592" spans="1:17" s="370" customFormat="1" ht="63" hidden="1" outlineLevel="1">
      <c r="A592" s="125" t="s">
        <v>842</v>
      </c>
      <c r="B592" s="391" t="s">
        <v>514</v>
      </c>
      <c r="C592" s="391" t="s">
        <v>483</v>
      </c>
      <c r="D592" s="391" t="s">
        <v>391</v>
      </c>
      <c r="E592" s="391" t="s">
        <v>843</v>
      </c>
      <c r="F592" s="391"/>
      <c r="G592" s="391"/>
      <c r="H592" s="391"/>
      <c r="I592" s="391"/>
      <c r="J592" s="391"/>
      <c r="K592" s="391"/>
      <c r="L592" s="391" t="s">
        <v>844</v>
      </c>
      <c r="M592" s="391"/>
      <c r="N592" s="417"/>
      <c r="O592" s="417"/>
      <c r="P592" s="417"/>
      <c r="Q592" s="595" t="e">
        <f t="shared" si="10"/>
        <v>#DIV/0!</v>
      </c>
    </row>
    <row r="593" spans="1:17" ht="63" hidden="1" outlineLevel="1">
      <c r="A593" s="125" t="s">
        <v>842</v>
      </c>
      <c r="B593" s="391" t="s">
        <v>514</v>
      </c>
      <c r="C593" s="391" t="s">
        <v>483</v>
      </c>
      <c r="D593" s="391" t="s">
        <v>391</v>
      </c>
      <c r="E593" s="391" t="s">
        <v>845</v>
      </c>
      <c r="F593" s="391"/>
      <c r="G593" s="391"/>
      <c r="H593" s="391"/>
      <c r="I593" s="391"/>
      <c r="J593" s="391"/>
      <c r="K593" s="391"/>
      <c r="L593" s="391" t="s">
        <v>844</v>
      </c>
      <c r="M593" s="391"/>
      <c r="N593" s="417"/>
      <c r="O593" s="417"/>
      <c r="P593" s="417"/>
      <c r="Q593" s="595" t="e">
        <f t="shared" si="10"/>
        <v>#DIV/0!</v>
      </c>
    </row>
    <row r="594" spans="1:17" s="79" customFormat="1" ht="31.5" outlineLevel="1">
      <c r="A594" s="252" t="s">
        <v>893</v>
      </c>
      <c r="B594" s="362" t="s">
        <v>514</v>
      </c>
      <c r="C594" s="358" t="s">
        <v>388</v>
      </c>
      <c r="D594" s="358" t="s">
        <v>382</v>
      </c>
      <c r="E594" s="358" t="s">
        <v>770</v>
      </c>
      <c r="F594" s="358" t="s">
        <v>478</v>
      </c>
      <c r="G594" s="358" t="s">
        <v>789</v>
      </c>
      <c r="H594" s="358" t="s">
        <v>481</v>
      </c>
      <c r="I594" s="358" t="s">
        <v>770</v>
      </c>
      <c r="J594" s="358" t="s">
        <v>528</v>
      </c>
      <c r="K594" s="358" t="s">
        <v>480</v>
      </c>
      <c r="L594" s="362" t="s">
        <v>369</v>
      </c>
      <c r="M594" s="362"/>
      <c r="N594" s="363">
        <v>6850.8</v>
      </c>
      <c r="O594" s="363">
        <f>6726.61+300.68</f>
        <v>7027.29</v>
      </c>
      <c r="P594" s="363">
        <f>6553.85+300.68</f>
        <v>6854.530000000001</v>
      </c>
      <c r="Q594" s="595">
        <f t="shared" si="10"/>
        <v>0.9754158430917182</v>
      </c>
    </row>
    <row r="595" spans="1:17" s="79" customFormat="1" ht="16.5" hidden="1" outlineLevel="1">
      <c r="A595" s="125" t="s">
        <v>774</v>
      </c>
      <c r="B595" s="391" t="s">
        <v>514</v>
      </c>
      <c r="C595" s="72" t="s">
        <v>388</v>
      </c>
      <c r="D595" s="72" t="s">
        <v>382</v>
      </c>
      <c r="E595" s="72"/>
      <c r="F595" s="72"/>
      <c r="G595" s="72"/>
      <c r="H595" s="72"/>
      <c r="I595" s="72"/>
      <c r="J595" s="72"/>
      <c r="K595" s="72"/>
      <c r="L595" s="391" t="s">
        <v>735</v>
      </c>
      <c r="M595" s="391" t="s">
        <v>636</v>
      </c>
      <c r="N595" s="417">
        <v>4844.68</v>
      </c>
      <c r="O595" s="417">
        <v>4844.68</v>
      </c>
      <c r="P595" s="417"/>
      <c r="Q595" s="595">
        <f t="shared" si="10"/>
        <v>0</v>
      </c>
    </row>
    <row r="596" spans="1:17" ht="16.5" hidden="1" outlineLevel="1">
      <c r="A596" s="125" t="s">
        <v>775</v>
      </c>
      <c r="B596" s="391" t="s">
        <v>514</v>
      </c>
      <c r="C596" s="72" t="s">
        <v>388</v>
      </c>
      <c r="D596" s="72" t="s">
        <v>382</v>
      </c>
      <c r="E596" s="72"/>
      <c r="F596" s="72"/>
      <c r="G596" s="72"/>
      <c r="H596" s="72"/>
      <c r="I596" s="72"/>
      <c r="J596" s="72"/>
      <c r="K596" s="72"/>
      <c r="L596" s="391" t="s">
        <v>735</v>
      </c>
      <c r="M596" s="391" t="s">
        <v>637</v>
      </c>
      <c r="N596" s="417">
        <v>1463.09</v>
      </c>
      <c r="O596" s="417">
        <v>1463.09</v>
      </c>
      <c r="P596" s="417"/>
      <c r="Q596" s="595">
        <f t="shared" si="10"/>
        <v>0</v>
      </c>
    </row>
    <row r="597" spans="1:17" ht="16.5" hidden="1" outlineLevel="1">
      <c r="A597" s="125" t="s">
        <v>784</v>
      </c>
      <c r="B597" s="391" t="s">
        <v>514</v>
      </c>
      <c r="C597" s="72" t="s">
        <v>388</v>
      </c>
      <c r="D597" s="72" t="s">
        <v>382</v>
      </c>
      <c r="E597" s="72"/>
      <c r="F597" s="72"/>
      <c r="G597" s="72"/>
      <c r="H597" s="72"/>
      <c r="I597" s="72"/>
      <c r="J597" s="72"/>
      <c r="K597" s="72"/>
      <c r="L597" s="391" t="s">
        <v>639</v>
      </c>
      <c r="M597" s="391" t="s">
        <v>645</v>
      </c>
      <c r="N597" s="417">
        <v>5</v>
      </c>
      <c r="O597" s="417">
        <v>5</v>
      </c>
      <c r="P597" s="417"/>
      <c r="Q597" s="595">
        <f t="shared" si="10"/>
        <v>0</v>
      </c>
    </row>
    <row r="598" spans="1:17" s="79" customFormat="1" ht="16.5" hidden="1" outlineLevel="1">
      <c r="A598" s="125" t="s">
        <v>786</v>
      </c>
      <c r="B598" s="391" t="s">
        <v>514</v>
      </c>
      <c r="C598" s="72" t="s">
        <v>388</v>
      </c>
      <c r="D598" s="72" t="s">
        <v>382</v>
      </c>
      <c r="E598" s="72"/>
      <c r="F598" s="72"/>
      <c r="G598" s="72"/>
      <c r="H598" s="72"/>
      <c r="I598" s="72"/>
      <c r="J598" s="72"/>
      <c r="K598" s="72"/>
      <c r="L598" s="391" t="s">
        <v>639</v>
      </c>
      <c r="M598" s="391" t="s">
        <v>647</v>
      </c>
      <c r="N598" s="417">
        <v>36.17</v>
      </c>
      <c r="O598" s="417">
        <v>36.17</v>
      </c>
      <c r="P598" s="417"/>
      <c r="Q598" s="595">
        <f t="shared" si="10"/>
        <v>0</v>
      </c>
    </row>
    <row r="599" spans="1:17" ht="31.5" hidden="1" outlineLevel="1">
      <c r="A599" s="125" t="s">
        <v>787</v>
      </c>
      <c r="B599" s="391" t="s">
        <v>514</v>
      </c>
      <c r="C599" s="72" t="s">
        <v>388</v>
      </c>
      <c r="D599" s="72" t="s">
        <v>382</v>
      </c>
      <c r="E599" s="72"/>
      <c r="F599" s="72"/>
      <c r="G599" s="72"/>
      <c r="H599" s="72"/>
      <c r="I599" s="72"/>
      <c r="J599" s="72"/>
      <c r="K599" s="72"/>
      <c r="L599" s="391" t="s">
        <v>639</v>
      </c>
      <c r="M599" s="391" t="s">
        <v>648</v>
      </c>
      <c r="N599" s="417">
        <v>10</v>
      </c>
      <c r="O599" s="417">
        <v>10</v>
      </c>
      <c r="P599" s="417"/>
      <c r="Q599" s="595">
        <f t="shared" si="10"/>
        <v>0</v>
      </c>
    </row>
    <row r="600" spans="1:17" s="79" customFormat="1" ht="16.5" outlineLevel="1">
      <c r="A600" s="252" t="s">
        <v>854</v>
      </c>
      <c r="B600" s="362" t="s">
        <v>514</v>
      </c>
      <c r="C600" s="358" t="s">
        <v>388</v>
      </c>
      <c r="D600" s="358" t="s">
        <v>382</v>
      </c>
      <c r="E600" s="358" t="s">
        <v>770</v>
      </c>
      <c r="F600" s="358" t="s">
        <v>478</v>
      </c>
      <c r="G600" s="358" t="s">
        <v>789</v>
      </c>
      <c r="H600" s="358" t="s">
        <v>481</v>
      </c>
      <c r="I600" s="358" t="s">
        <v>770</v>
      </c>
      <c r="J600" s="358" t="s">
        <v>478</v>
      </c>
      <c r="K600" s="358" t="s">
        <v>478</v>
      </c>
      <c r="L600" s="362" t="s">
        <v>369</v>
      </c>
      <c r="M600" s="362"/>
      <c r="N600" s="363">
        <v>211.03</v>
      </c>
      <c r="O600" s="363">
        <v>222.09</v>
      </c>
      <c r="P600" s="363">
        <v>222.09</v>
      </c>
      <c r="Q600" s="595">
        <f t="shared" si="10"/>
        <v>1</v>
      </c>
    </row>
    <row r="601" spans="1:17" ht="16.5" hidden="1" outlineLevel="1">
      <c r="A601" s="125" t="s">
        <v>774</v>
      </c>
      <c r="B601" s="391" t="s">
        <v>514</v>
      </c>
      <c r="C601" s="72" t="s">
        <v>388</v>
      </c>
      <c r="D601" s="72" t="s">
        <v>382</v>
      </c>
      <c r="E601" s="72"/>
      <c r="F601" s="72"/>
      <c r="G601" s="72"/>
      <c r="H601" s="72"/>
      <c r="I601" s="72"/>
      <c r="J601" s="72"/>
      <c r="K601" s="72"/>
      <c r="L601" s="391" t="s">
        <v>735</v>
      </c>
      <c r="M601" s="391" t="s">
        <v>636</v>
      </c>
      <c r="N601" s="417">
        <v>740.11</v>
      </c>
      <c r="O601" s="417">
        <v>740.11</v>
      </c>
      <c r="P601" s="417"/>
      <c r="Q601" s="595">
        <f t="shared" si="10"/>
        <v>0</v>
      </c>
    </row>
    <row r="602" spans="1:17" s="79" customFormat="1" ht="16.5" hidden="1" outlineLevel="1">
      <c r="A602" s="125" t="s">
        <v>775</v>
      </c>
      <c r="B602" s="391" t="s">
        <v>514</v>
      </c>
      <c r="C602" s="72" t="s">
        <v>388</v>
      </c>
      <c r="D602" s="72" t="s">
        <v>382</v>
      </c>
      <c r="E602" s="72"/>
      <c r="F602" s="72"/>
      <c r="G602" s="72"/>
      <c r="H602" s="72"/>
      <c r="I602" s="72"/>
      <c r="J602" s="72"/>
      <c r="K602" s="72"/>
      <c r="L602" s="391" t="s">
        <v>735</v>
      </c>
      <c r="M602" s="391" t="s">
        <v>637</v>
      </c>
      <c r="N602" s="417">
        <v>223.51</v>
      </c>
      <c r="O602" s="417">
        <v>223.51</v>
      </c>
      <c r="P602" s="417"/>
      <c r="Q602" s="595">
        <f t="shared" si="10"/>
        <v>0</v>
      </c>
    </row>
    <row r="603" spans="1:17" s="79" customFormat="1" ht="31.5" outlineLevel="1">
      <c r="A603" s="252" t="s">
        <v>894</v>
      </c>
      <c r="B603" s="362" t="s">
        <v>514</v>
      </c>
      <c r="C603" s="358" t="s">
        <v>483</v>
      </c>
      <c r="D603" s="358" t="s">
        <v>387</v>
      </c>
      <c r="E603" s="358" t="s">
        <v>770</v>
      </c>
      <c r="F603" s="358" t="s">
        <v>478</v>
      </c>
      <c r="G603" s="358" t="s">
        <v>789</v>
      </c>
      <c r="H603" s="358" t="s">
        <v>481</v>
      </c>
      <c r="I603" s="358" t="s">
        <v>770</v>
      </c>
      <c r="J603" s="358" t="s">
        <v>478</v>
      </c>
      <c r="K603" s="358" t="s">
        <v>480</v>
      </c>
      <c r="L603" s="362" t="s">
        <v>369</v>
      </c>
      <c r="M603" s="362"/>
      <c r="N603" s="363">
        <v>97.72</v>
      </c>
      <c r="O603" s="363">
        <v>174.16</v>
      </c>
      <c r="P603" s="363">
        <v>174.16</v>
      </c>
      <c r="Q603" s="595">
        <f t="shared" si="10"/>
        <v>1</v>
      </c>
    </row>
    <row r="604" spans="1:17" ht="16.5" hidden="1" outlineLevel="1">
      <c r="A604" s="125" t="s">
        <v>784</v>
      </c>
      <c r="B604" s="391" t="s">
        <v>514</v>
      </c>
      <c r="C604" s="72" t="s">
        <v>388</v>
      </c>
      <c r="D604" s="72" t="s">
        <v>382</v>
      </c>
      <c r="E604" s="72"/>
      <c r="F604" s="72"/>
      <c r="G604" s="72"/>
      <c r="H604" s="72"/>
      <c r="I604" s="72"/>
      <c r="J604" s="72"/>
      <c r="K604" s="72"/>
      <c r="L604" s="391" t="s">
        <v>639</v>
      </c>
      <c r="M604" s="391" t="s">
        <v>645</v>
      </c>
      <c r="N604" s="417"/>
      <c r="O604" s="417"/>
      <c r="P604" s="417"/>
      <c r="Q604" s="595" t="e">
        <f t="shared" si="10"/>
        <v>#DIV/0!</v>
      </c>
    </row>
    <row r="605" spans="1:17" ht="16.5" hidden="1" outlineLevel="1">
      <c r="A605" s="125" t="s">
        <v>855</v>
      </c>
      <c r="B605" s="391" t="s">
        <v>514</v>
      </c>
      <c r="C605" s="72" t="s">
        <v>388</v>
      </c>
      <c r="D605" s="72" t="s">
        <v>382</v>
      </c>
      <c r="E605" s="72"/>
      <c r="F605" s="72"/>
      <c r="G605" s="72"/>
      <c r="H605" s="72"/>
      <c r="I605" s="72"/>
      <c r="J605" s="72"/>
      <c r="K605" s="72"/>
      <c r="L605" s="391" t="s">
        <v>733</v>
      </c>
      <c r="M605" s="391" t="s">
        <v>680</v>
      </c>
      <c r="N605" s="417">
        <v>97.72</v>
      </c>
      <c r="O605" s="417">
        <v>97.72</v>
      </c>
      <c r="P605" s="417"/>
      <c r="Q605" s="595">
        <f t="shared" si="10"/>
        <v>0</v>
      </c>
    </row>
    <row r="606" spans="1:17" s="79" customFormat="1" ht="31.5" outlineLevel="1">
      <c r="A606" s="252" t="s">
        <v>856</v>
      </c>
      <c r="B606" s="362" t="s">
        <v>514</v>
      </c>
      <c r="C606" s="358" t="s">
        <v>388</v>
      </c>
      <c r="D606" s="358" t="s">
        <v>382</v>
      </c>
      <c r="E606" s="358" t="s">
        <v>770</v>
      </c>
      <c r="F606" s="358" t="s">
        <v>478</v>
      </c>
      <c r="G606" s="358" t="s">
        <v>789</v>
      </c>
      <c r="H606" s="358" t="s">
        <v>481</v>
      </c>
      <c r="I606" s="358" t="s">
        <v>770</v>
      </c>
      <c r="J606" s="358" t="s">
        <v>478</v>
      </c>
      <c r="K606" s="358" t="s">
        <v>481</v>
      </c>
      <c r="L606" s="362" t="s">
        <v>369</v>
      </c>
      <c r="M606" s="362"/>
      <c r="N606" s="363">
        <v>61.39</v>
      </c>
      <c r="O606" s="363">
        <v>51.92</v>
      </c>
      <c r="P606" s="363">
        <v>51.92</v>
      </c>
      <c r="Q606" s="595">
        <f t="shared" si="10"/>
        <v>1</v>
      </c>
    </row>
    <row r="607" spans="1:17" ht="31.5" hidden="1" outlineLevel="1">
      <c r="A607" s="125" t="s">
        <v>787</v>
      </c>
      <c r="B607" s="391" t="s">
        <v>514</v>
      </c>
      <c r="C607" s="358" t="s">
        <v>388</v>
      </c>
      <c r="D607" s="358" t="s">
        <v>382</v>
      </c>
      <c r="E607" s="358"/>
      <c r="F607" s="358"/>
      <c r="G607" s="358"/>
      <c r="H607" s="358"/>
      <c r="I607" s="358"/>
      <c r="J607" s="358"/>
      <c r="K607" s="358"/>
      <c r="L607" s="391" t="s">
        <v>639</v>
      </c>
      <c r="M607" s="391" t="s">
        <v>648</v>
      </c>
      <c r="N607" s="417">
        <v>61.39</v>
      </c>
      <c r="O607" s="417">
        <v>61.39</v>
      </c>
      <c r="P607" s="417"/>
      <c r="Q607" s="595">
        <f t="shared" si="10"/>
        <v>0</v>
      </c>
    </row>
    <row r="608" spans="1:17" s="79" customFormat="1" ht="31.5" outlineLevel="1">
      <c r="A608" s="252" t="s">
        <v>857</v>
      </c>
      <c r="B608" s="358" t="s">
        <v>514</v>
      </c>
      <c r="C608" s="358" t="s">
        <v>388</v>
      </c>
      <c r="D608" s="358" t="s">
        <v>382</v>
      </c>
      <c r="E608" s="72" t="s">
        <v>770</v>
      </c>
      <c r="F608" s="72" t="s">
        <v>528</v>
      </c>
      <c r="G608" s="72" t="s">
        <v>478</v>
      </c>
      <c r="H608" s="72" t="s">
        <v>770</v>
      </c>
      <c r="I608" s="72" t="s">
        <v>528</v>
      </c>
      <c r="J608" s="72" t="s">
        <v>770</v>
      </c>
      <c r="K608" s="72" t="s">
        <v>479</v>
      </c>
      <c r="L608" s="362" t="s">
        <v>369</v>
      </c>
      <c r="M608" s="362"/>
      <c r="N608" s="363">
        <f>58.54+5.8</f>
        <v>64.34</v>
      </c>
      <c r="O608" s="363">
        <v>211.72</v>
      </c>
      <c r="P608" s="363">
        <v>211.72</v>
      </c>
      <c r="Q608" s="595">
        <f t="shared" si="10"/>
        <v>1</v>
      </c>
    </row>
    <row r="609" spans="1:17" ht="31.5" hidden="1" outlineLevel="1">
      <c r="A609" s="125" t="s">
        <v>787</v>
      </c>
      <c r="B609" s="72" t="s">
        <v>514</v>
      </c>
      <c r="C609" s="72" t="s">
        <v>388</v>
      </c>
      <c r="D609" s="72" t="s">
        <v>382</v>
      </c>
      <c r="E609" s="72"/>
      <c r="F609" s="72"/>
      <c r="G609" s="72"/>
      <c r="H609" s="72"/>
      <c r="I609" s="72"/>
      <c r="J609" s="72"/>
      <c r="K609" s="72"/>
      <c r="L609" s="391" t="s">
        <v>639</v>
      </c>
      <c r="M609" s="391" t="s">
        <v>648</v>
      </c>
      <c r="N609" s="417">
        <v>58.54</v>
      </c>
      <c r="O609" s="417">
        <v>58.54</v>
      </c>
      <c r="P609" s="417"/>
      <c r="Q609" s="595">
        <f t="shared" si="10"/>
        <v>0</v>
      </c>
    </row>
    <row r="610" spans="1:17" s="79" customFormat="1" ht="31.5" outlineLevel="1">
      <c r="A610" s="252" t="s">
        <v>895</v>
      </c>
      <c r="B610" s="358" t="s">
        <v>514</v>
      </c>
      <c r="C610" s="358" t="s">
        <v>388</v>
      </c>
      <c r="D610" s="358" t="s">
        <v>382</v>
      </c>
      <c r="E610" s="72" t="s">
        <v>770</v>
      </c>
      <c r="F610" s="72" t="s">
        <v>528</v>
      </c>
      <c r="G610" s="72" t="s">
        <v>478</v>
      </c>
      <c r="H610" s="72" t="s">
        <v>770</v>
      </c>
      <c r="I610" s="72" t="s">
        <v>528</v>
      </c>
      <c r="J610" s="72" t="s">
        <v>770</v>
      </c>
      <c r="K610" s="72" t="s">
        <v>480</v>
      </c>
      <c r="L610" s="362" t="s">
        <v>369</v>
      </c>
      <c r="M610" s="362"/>
      <c r="N610" s="363">
        <f>539.2+89.22</f>
        <v>628.4200000000001</v>
      </c>
      <c r="O610" s="363">
        <v>555.2</v>
      </c>
      <c r="P610" s="363">
        <v>555.2</v>
      </c>
      <c r="Q610" s="595">
        <f t="shared" si="10"/>
        <v>1</v>
      </c>
    </row>
    <row r="611" spans="1:17" ht="16.5" hidden="1" outlineLevel="1">
      <c r="A611" s="125" t="s">
        <v>774</v>
      </c>
      <c r="B611" s="391" t="s">
        <v>514</v>
      </c>
      <c r="C611" s="391" t="s">
        <v>388</v>
      </c>
      <c r="D611" s="391" t="s">
        <v>382</v>
      </c>
      <c r="E611" s="391"/>
      <c r="F611" s="391"/>
      <c r="G611" s="391"/>
      <c r="H611" s="391"/>
      <c r="I611" s="391"/>
      <c r="J611" s="391"/>
      <c r="K611" s="391"/>
      <c r="L611" s="391" t="s">
        <v>639</v>
      </c>
      <c r="M611" s="391" t="s">
        <v>636</v>
      </c>
      <c r="N611" s="417">
        <v>91.84</v>
      </c>
      <c r="O611" s="417">
        <v>91.84</v>
      </c>
      <c r="P611" s="417"/>
      <c r="Q611" s="595">
        <f t="shared" si="10"/>
        <v>0</v>
      </c>
    </row>
    <row r="612" spans="1:17" ht="16.5" hidden="1" outlineLevel="1">
      <c r="A612" s="125" t="s">
        <v>775</v>
      </c>
      <c r="B612" s="391" t="s">
        <v>514</v>
      </c>
      <c r="C612" s="391" t="s">
        <v>388</v>
      </c>
      <c r="D612" s="391" t="s">
        <v>382</v>
      </c>
      <c r="E612" s="391"/>
      <c r="F612" s="391"/>
      <c r="G612" s="391"/>
      <c r="H612" s="391"/>
      <c r="I612" s="391"/>
      <c r="J612" s="391"/>
      <c r="K612" s="391"/>
      <c r="L612" s="391" t="s">
        <v>639</v>
      </c>
      <c r="M612" s="391" t="s">
        <v>637</v>
      </c>
      <c r="N612" s="417">
        <v>27.74</v>
      </c>
      <c r="O612" s="417">
        <v>27.74</v>
      </c>
      <c r="P612" s="417"/>
      <c r="Q612" s="595">
        <f t="shared" si="10"/>
        <v>0</v>
      </c>
    </row>
    <row r="613" spans="1:17" ht="31.5" hidden="1" outlineLevel="1">
      <c r="A613" s="125" t="s">
        <v>787</v>
      </c>
      <c r="B613" s="391" t="s">
        <v>514</v>
      </c>
      <c r="C613" s="391" t="s">
        <v>388</v>
      </c>
      <c r="D613" s="391" t="s">
        <v>382</v>
      </c>
      <c r="E613" s="391"/>
      <c r="F613" s="391"/>
      <c r="G613" s="391"/>
      <c r="H613" s="391"/>
      <c r="I613" s="391"/>
      <c r="J613" s="391"/>
      <c r="K613" s="391"/>
      <c r="L613" s="391" t="s">
        <v>639</v>
      </c>
      <c r="M613" s="391" t="s">
        <v>648</v>
      </c>
      <c r="N613" s="417">
        <v>419.62</v>
      </c>
      <c r="O613" s="417">
        <v>419.62</v>
      </c>
      <c r="P613" s="417"/>
      <c r="Q613" s="595">
        <f t="shared" si="10"/>
        <v>0</v>
      </c>
    </row>
    <row r="614" spans="1:17" ht="141.75" outlineLevel="1">
      <c r="A614" s="125" t="s">
        <v>952</v>
      </c>
      <c r="B614" s="391" t="s">
        <v>514</v>
      </c>
      <c r="C614" s="391" t="s">
        <v>388</v>
      </c>
      <c r="D614" s="391" t="s">
        <v>382</v>
      </c>
      <c r="E614" s="391" t="s">
        <v>552</v>
      </c>
      <c r="F614" s="391" t="s">
        <v>552</v>
      </c>
      <c r="G614" s="391" t="s">
        <v>528</v>
      </c>
      <c r="H614" s="391" t="s">
        <v>552</v>
      </c>
      <c r="I614" s="391" t="s">
        <v>770</v>
      </c>
      <c r="J614" s="391" t="s">
        <v>770</v>
      </c>
      <c r="K614" s="391" t="s">
        <v>528</v>
      </c>
      <c r="L614" s="391" t="s">
        <v>778</v>
      </c>
      <c r="M614" s="391"/>
      <c r="N614" s="417">
        <v>0</v>
      </c>
      <c r="O614" s="417">
        <v>210</v>
      </c>
      <c r="P614" s="417">
        <v>210</v>
      </c>
      <c r="Q614" s="595">
        <f t="shared" si="10"/>
        <v>1</v>
      </c>
    </row>
    <row r="615" spans="1:17" ht="30" outlineLevel="1">
      <c r="A615" s="62" t="s">
        <v>864</v>
      </c>
      <c r="B615" s="74" t="s">
        <v>514</v>
      </c>
      <c r="C615" s="74" t="s">
        <v>388</v>
      </c>
      <c r="D615" s="74" t="s">
        <v>388</v>
      </c>
      <c r="E615" s="74" t="s">
        <v>770</v>
      </c>
      <c r="F615" s="74" t="s">
        <v>528</v>
      </c>
      <c r="G615" s="74" t="s">
        <v>479</v>
      </c>
      <c r="H615" s="74" t="s">
        <v>770</v>
      </c>
      <c r="I615" s="74" t="s">
        <v>528</v>
      </c>
      <c r="J615" s="74" t="s">
        <v>770</v>
      </c>
      <c r="K615" s="74" t="s">
        <v>479</v>
      </c>
      <c r="L615" s="74" t="s">
        <v>778</v>
      </c>
      <c r="M615" s="74"/>
      <c r="N615" s="566"/>
      <c r="O615" s="568">
        <v>57.24</v>
      </c>
      <c r="P615" s="568">
        <v>57.24</v>
      </c>
      <c r="Q615" s="595">
        <f t="shared" si="10"/>
        <v>1</v>
      </c>
    </row>
    <row r="616" spans="1:17" ht="45" outlineLevel="1">
      <c r="A616" s="51" t="s">
        <v>866</v>
      </c>
      <c r="B616" s="73" t="s">
        <v>514</v>
      </c>
      <c r="C616" s="73" t="s">
        <v>388</v>
      </c>
      <c r="D616" s="73" t="s">
        <v>385</v>
      </c>
      <c r="E616" s="391" t="s">
        <v>770</v>
      </c>
      <c r="F616" s="391" t="s">
        <v>528</v>
      </c>
      <c r="G616" s="391" t="s">
        <v>546</v>
      </c>
      <c r="H616" s="391" t="s">
        <v>770</v>
      </c>
      <c r="I616" s="391" t="s">
        <v>528</v>
      </c>
      <c r="J616" s="391" t="s">
        <v>770</v>
      </c>
      <c r="K616" s="391" t="s">
        <v>546</v>
      </c>
      <c r="L616" s="73" t="s">
        <v>778</v>
      </c>
      <c r="M616" s="73"/>
      <c r="N616" s="371"/>
      <c r="O616" s="569">
        <v>57</v>
      </c>
      <c r="P616" s="569">
        <v>57</v>
      </c>
      <c r="Q616" s="595">
        <f t="shared" si="10"/>
        <v>1</v>
      </c>
    </row>
    <row r="617" spans="1:17" s="397" customFormat="1" ht="29.25" customHeight="1" outlineLevel="1">
      <c r="A617" s="418" t="s">
        <v>898</v>
      </c>
      <c r="B617" s="419" t="s">
        <v>514</v>
      </c>
      <c r="C617" s="419"/>
      <c r="D617" s="419"/>
      <c r="E617" s="419"/>
      <c r="F617" s="419"/>
      <c r="G617" s="419"/>
      <c r="H617" s="419"/>
      <c r="I617" s="419"/>
      <c r="J617" s="419"/>
      <c r="K617" s="419"/>
      <c r="L617" s="419"/>
      <c r="M617" s="419"/>
      <c r="N617" s="420">
        <f>N621+N625+N639+N645+N648+N651+N653+N655</f>
        <v>5258.82</v>
      </c>
      <c r="O617" s="420">
        <f>O618</f>
        <v>7844.969999999999</v>
      </c>
      <c r="P617" s="420">
        <f>P618</f>
        <v>7672.209999999999</v>
      </c>
      <c r="Q617" s="595">
        <f t="shared" si="10"/>
        <v>0.9779782459333815</v>
      </c>
    </row>
    <row r="618" spans="1:17" ht="16.5" outlineLevel="1">
      <c r="A618" s="125" t="s">
        <v>509</v>
      </c>
      <c r="B618" s="391" t="s">
        <v>514</v>
      </c>
      <c r="C618" s="391" t="s">
        <v>388</v>
      </c>
      <c r="D618" s="391"/>
      <c r="E618" s="391"/>
      <c r="F618" s="391"/>
      <c r="G618" s="391"/>
      <c r="H618" s="391"/>
      <c r="I618" s="391"/>
      <c r="J618" s="391"/>
      <c r="K618" s="391"/>
      <c r="L618" s="391"/>
      <c r="M618" s="391"/>
      <c r="N618" s="417">
        <v>5163.0199999999995</v>
      </c>
      <c r="O618" s="417">
        <f>O619</f>
        <v>7844.969999999999</v>
      </c>
      <c r="P618" s="417">
        <f>P619</f>
        <v>7672.209999999999</v>
      </c>
      <c r="Q618" s="595">
        <f t="shared" si="10"/>
        <v>0.9779782459333815</v>
      </c>
    </row>
    <row r="619" spans="1:17" ht="16.5" outlineLevel="1">
      <c r="A619" s="125" t="s">
        <v>512</v>
      </c>
      <c r="B619" s="391" t="s">
        <v>514</v>
      </c>
      <c r="C619" s="391" t="s">
        <v>388</v>
      </c>
      <c r="D619" s="391" t="s">
        <v>382</v>
      </c>
      <c r="E619" s="391"/>
      <c r="F619" s="391"/>
      <c r="G619" s="391"/>
      <c r="H619" s="391"/>
      <c r="I619" s="391"/>
      <c r="J619" s="391"/>
      <c r="K619" s="391"/>
      <c r="L619" s="391"/>
      <c r="M619" s="391"/>
      <c r="N619" s="417">
        <v>5163.0199999999995</v>
      </c>
      <c r="O619" s="417">
        <f>O620+O639+O645+O648+O651+O653+O655+O659+O660+O661</f>
        <v>7844.969999999999</v>
      </c>
      <c r="P619" s="417">
        <f>P620+P639+P645+P648+P651+P653+P655+P659+P660+P661</f>
        <v>7672.209999999999</v>
      </c>
      <c r="Q619" s="595">
        <f t="shared" si="10"/>
        <v>0.9779782459333815</v>
      </c>
    </row>
    <row r="620" spans="1:17" ht="47.25" outlineLevel="1">
      <c r="A620" s="125" t="s">
        <v>892</v>
      </c>
      <c r="B620" s="391" t="s">
        <v>514</v>
      </c>
      <c r="C620" s="391" t="s">
        <v>388</v>
      </c>
      <c r="D620" s="391" t="s">
        <v>382</v>
      </c>
      <c r="E620" s="391" t="s">
        <v>770</v>
      </c>
      <c r="F620" s="391" t="s">
        <v>528</v>
      </c>
      <c r="G620" s="391"/>
      <c r="H620" s="391"/>
      <c r="I620" s="391"/>
      <c r="J620" s="391"/>
      <c r="K620" s="391"/>
      <c r="L620" s="391" t="s">
        <v>369</v>
      </c>
      <c r="M620" s="391"/>
      <c r="N620" s="417">
        <v>607.86</v>
      </c>
      <c r="O620" s="417">
        <f>O621+O625</f>
        <v>1144.85</v>
      </c>
      <c r="P620" s="417">
        <f>P621+P625</f>
        <v>1144.85</v>
      </c>
      <c r="Q620" s="595">
        <f t="shared" si="10"/>
        <v>1</v>
      </c>
    </row>
    <row r="621" spans="1:17" ht="31.5" outlineLevel="1">
      <c r="A621" s="125" t="s">
        <v>850</v>
      </c>
      <c r="B621" s="391" t="s">
        <v>514</v>
      </c>
      <c r="C621" s="391" t="s">
        <v>388</v>
      </c>
      <c r="D621" s="391" t="s">
        <v>382</v>
      </c>
      <c r="E621" s="391" t="s">
        <v>770</v>
      </c>
      <c r="F621" s="391" t="s">
        <v>528</v>
      </c>
      <c r="G621" s="391" t="s">
        <v>478</v>
      </c>
      <c r="H621" s="391" t="s">
        <v>770</v>
      </c>
      <c r="I621" s="391" t="s">
        <v>528</v>
      </c>
      <c r="J621" s="391" t="s">
        <v>770</v>
      </c>
      <c r="K621" s="391" t="s">
        <v>528</v>
      </c>
      <c r="L621" s="391" t="s">
        <v>773</v>
      </c>
      <c r="M621" s="391"/>
      <c r="N621" s="417">
        <v>287.17</v>
      </c>
      <c r="O621" s="417">
        <v>307.71</v>
      </c>
      <c r="P621" s="417">
        <v>307.71</v>
      </c>
      <c r="Q621" s="595">
        <f t="shared" si="10"/>
        <v>1</v>
      </c>
    </row>
    <row r="622" spans="1:17" ht="16.5" hidden="1" outlineLevel="1">
      <c r="A622" s="125" t="s">
        <v>774</v>
      </c>
      <c r="B622" s="391" t="s">
        <v>514</v>
      </c>
      <c r="C622" s="391" t="s">
        <v>388</v>
      </c>
      <c r="D622" s="391" t="s">
        <v>382</v>
      </c>
      <c r="E622" s="391"/>
      <c r="F622" s="391"/>
      <c r="G622" s="391"/>
      <c r="H622" s="391"/>
      <c r="I622" s="391"/>
      <c r="J622" s="391"/>
      <c r="K622" s="391"/>
      <c r="L622" s="391" t="s">
        <v>735</v>
      </c>
      <c r="M622" s="391" t="s">
        <v>636</v>
      </c>
      <c r="N622" s="417"/>
      <c r="O622" s="417"/>
      <c r="P622" s="417"/>
      <c r="Q622" s="595" t="e">
        <f t="shared" si="10"/>
        <v>#DIV/0!</v>
      </c>
    </row>
    <row r="623" spans="1:17" ht="16.5" hidden="1" outlineLevel="1">
      <c r="A623" s="125" t="s">
        <v>776</v>
      </c>
      <c r="B623" s="391" t="s">
        <v>514</v>
      </c>
      <c r="C623" s="391" t="s">
        <v>388</v>
      </c>
      <c r="D623" s="391" t="s">
        <v>382</v>
      </c>
      <c r="E623" s="391"/>
      <c r="F623" s="391"/>
      <c r="G623" s="391"/>
      <c r="H623" s="391"/>
      <c r="I623" s="391"/>
      <c r="J623" s="391"/>
      <c r="K623" s="391"/>
      <c r="L623" s="391" t="s">
        <v>676</v>
      </c>
      <c r="M623" s="391" t="s">
        <v>660</v>
      </c>
      <c r="N623" s="417">
        <v>6.9</v>
      </c>
      <c r="O623" s="417">
        <v>6.9</v>
      </c>
      <c r="P623" s="417"/>
      <c r="Q623" s="595">
        <f t="shared" si="10"/>
        <v>0</v>
      </c>
    </row>
    <row r="624" spans="1:17" ht="16.5" hidden="1" outlineLevel="1">
      <c r="A624" s="125" t="s">
        <v>775</v>
      </c>
      <c r="B624" s="391" t="s">
        <v>514</v>
      </c>
      <c r="C624" s="391" t="s">
        <v>388</v>
      </c>
      <c r="D624" s="391" t="s">
        <v>382</v>
      </c>
      <c r="E624" s="391"/>
      <c r="F624" s="391"/>
      <c r="G624" s="391"/>
      <c r="H624" s="391"/>
      <c r="I624" s="391"/>
      <c r="J624" s="391"/>
      <c r="K624" s="391"/>
      <c r="L624" s="391" t="s">
        <v>735</v>
      </c>
      <c r="M624" s="391" t="s">
        <v>637</v>
      </c>
      <c r="N624" s="417"/>
      <c r="O624" s="417"/>
      <c r="P624" s="417"/>
      <c r="Q624" s="595" t="e">
        <f t="shared" si="10"/>
        <v>#DIV/0!</v>
      </c>
    </row>
    <row r="625" spans="1:17" ht="31.5" outlineLevel="1">
      <c r="A625" s="125" t="s">
        <v>777</v>
      </c>
      <c r="B625" s="391" t="s">
        <v>514</v>
      </c>
      <c r="C625" s="391" t="s">
        <v>388</v>
      </c>
      <c r="D625" s="391" t="s">
        <v>382</v>
      </c>
      <c r="E625" s="391" t="s">
        <v>770</v>
      </c>
      <c r="F625" s="391" t="s">
        <v>528</v>
      </c>
      <c r="G625" s="391" t="s">
        <v>478</v>
      </c>
      <c r="H625" s="391" t="s">
        <v>770</v>
      </c>
      <c r="I625" s="391" t="s">
        <v>528</v>
      </c>
      <c r="J625" s="391" t="s">
        <v>770</v>
      </c>
      <c r="K625" s="391" t="s">
        <v>478</v>
      </c>
      <c r="L625" s="391" t="s">
        <v>778</v>
      </c>
      <c r="M625" s="391"/>
      <c r="N625" s="417">
        <v>600.96</v>
      </c>
      <c r="O625" s="417">
        <v>837.14</v>
      </c>
      <c r="P625" s="417">
        <v>837.14</v>
      </c>
      <c r="Q625" s="595">
        <f t="shared" si="10"/>
        <v>1</v>
      </c>
    </row>
    <row r="626" spans="1:17" ht="16.5" hidden="1" outlineLevel="1">
      <c r="A626" s="125" t="s">
        <v>779</v>
      </c>
      <c r="B626" s="391" t="s">
        <v>514</v>
      </c>
      <c r="C626" s="391" t="s">
        <v>388</v>
      </c>
      <c r="D626" s="391" t="s">
        <v>382</v>
      </c>
      <c r="E626" s="391"/>
      <c r="F626" s="391"/>
      <c r="G626" s="391"/>
      <c r="H626" s="391"/>
      <c r="I626" s="391"/>
      <c r="J626" s="391"/>
      <c r="K626" s="391"/>
      <c r="L626" s="391" t="s">
        <v>639</v>
      </c>
      <c r="M626" s="391" t="s">
        <v>640</v>
      </c>
      <c r="N626" s="417">
        <v>5.1</v>
      </c>
      <c r="O626" s="417">
        <v>5.1</v>
      </c>
      <c r="P626" s="417"/>
      <c r="Q626" s="595">
        <f t="shared" si="10"/>
        <v>0</v>
      </c>
    </row>
    <row r="627" spans="1:17" ht="16.5" hidden="1" outlineLevel="1">
      <c r="A627" s="125" t="s">
        <v>780</v>
      </c>
      <c r="B627" s="391" t="s">
        <v>514</v>
      </c>
      <c r="C627" s="391" t="s">
        <v>388</v>
      </c>
      <c r="D627" s="391" t="s">
        <v>382</v>
      </c>
      <c r="E627" s="391"/>
      <c r="F627" s="391"/>
      <c r="G627" s="391"/>
      <c r="H627" s="391"/>
      <c r="I627" s="391"/>
      <c r="J627" s="391"/>
      <c r="K627" s="391"/>
      <c r="L627" s="391" t="s">
        <v>639</v>
      </c>
      <c r="M627" s="391" t="s">
        <v>641</v>
      </c>
      <c r="N627" s="417">
        <v>0.6</v>
      </c>
      <c r="O627" s="417">
        <v>0.6</v>
      </c>
      <c r="P627" s="417"/>
      <c r="Q627" s="595">
        <f t="shared" si="10"/>
        <v>0</v>
      </c>
    </row>
    <row r="628" spans="1:17" ht="16.5" hidden="1" outlineLevel="1">
      <c r="A628" s="125" t="s">
        <v>781</v>
      </c>
      <c r="B628" s="391" t="s">
        <v>514</v>
      </c>
      <c r="C628" s="391" t="s">
        <v>388</v>
      </c>
      <c r="D628" s="391" t="s">
        <v>382</v>
      </c>
      <c r="E628" s="391"/>
      <c r="F628" s="391"/>
      <c r="G628" s="391"/>
      <c r="H628" s="391"/>
      <c r="I628" s="391"/>
      <c r="J628" s="391"/>
      <c r="K628" s="391"/>
      <c r="L628" s="391" t="s">
        <v>639</v>
      </c>
      <c r="M628" s="391" t="s">
        <v>642</v>
      </c>
      <c r="N628" s="417">
        <v>492.92</v>
      </c>
      <c r="O628" s="417">
        <v>492.92</v>
      </c>
      <c r="P628" s="417"/>
      <c r="Q628" s="595">
        <f t="shared" si="10"/>
        <v>0</v>
      </c>
    </row>
    <row r="629" spans="1:17" ht="16.5" hidden="1" outlineLevel="1">
      <c r="A629" s="125" t="s">
        <v>782</v>
      </c>
      <c r="B629" s="391" t="s">
        <v>514</v>
      </c>
      <c r="C629" s="391" t="s">
        <v>388</v>
      </c>
      <c r="D629" s="391" t="s">
        <v>382</v>
      </c>
      <c r="E629" s="391"/>
      <c r="F629" s="391"/>
      <c r="G629" s="391"/>
      <c r="H629" s="391"/>
      <c r="I629" s="391"/>
      <c r="J629" s="391"/>
      <c r="K629" s="391"/>
      <c r="L629" s="391" t="s">
        <v>639</v>
      </c>
      <c r="M629" s="391" t="s">
        <v>643</v>
      </c>
      <c r="N629" s="417"/>
      <c r="O629" s="417"/>
      <c r="P629" s="417"/>
      <c r="Q629" s="595" t="e">
        <f t="shared" si="10"/>
        <v>#DIV/0!</v>
      </c>
    </row>
    <row r="630" spans="1:17" ht="16.5" hidden="1" outlineLevel="1">
      <c r="A630" s="125" t="s">
        <v>783</v>
      </c>
      <c r="B630" s="391" t="s">
        <v>514</v>
      </c>
      <c r="C630" s="391" t="s">
        <v>388</v>
      </c>
      <c r="D630" s="391" t="s">
        <v>382</v>
      </c>
      <c r="E630" s="391"/>
      <c r="F630" s="391"/>
      <c r="G630" s="391"/>
      <c r="H630" s="391"/>
      <c r="I630" s="391"/>
      <c r="J630" s="391"/>
      <c r="K630" s="391"/>
      <c r="L630" s="391" t="s">
        <v>639</v>
      </c>
      <c r="M630" s="391" t="s">
        <v>644</v>
      </c>
      <c r="N630" s="417">
        <v>18.6</v>
      </c>
      <c r="O630" s="417">
        <v>18.6</v>
      </c>
      <c r="P630" s="417"/>
      <c r="Q630" s="595">
        <f t="shared" si="10"/>
        <v>0</v>
      </c>
    </row>
    <row r="631" spans="1:17" ht="16.5" hidden="1" outlineLevel="1">
      <c r="A631" s="125" t="s">
        <v>784</v>
      </c>
      <c r="B631" s="391" t="s">
        <v>514</v>
      </c>
      <c r="C631" s="391" t="s">
        <v>388</v>
      </c>
      <c r="D631" s="391" t="s">
        <v>382</v>
      </c>
      <c r="E631" s="391"/>
      <c r="F631" s="391"/>
      <c r="G631" s="391"/>
      <c r="H631" s="391"/>
      <c r="I631" s="391"/>
      <c r="J631" s="391"/>
      <c r="K631" s="391"/>
      <c r="L631" s="391" t="s">
        <v>639</v>
      </c>
      <c r="M631" s="391" t="s">
        <v>645</v>
      </c>
      <c r="N631" s="417">
        <v>67.99</v>
      </c>
      <c r="O631" s="417">
        <v>67.99</v>
      </c>
      <c r="P631" s="417"/>
      <c r="Q631" s="595">
        <f t="shared" si="10"/>
        <v>0</v>
      </c>
    </row>
    <row r="632" spans="1:17" ht="16.5" hidden="1" outlineLevel="1">
      <c r="A632" s="125" t="s">
        <v>785</v>
      </c>
      <c r="B632" s="391" t="s">
        <v>514</v>
      </c>
      <c r="C632" s="391" t="s">
        <v>388</v>
      </c>
      <c r="D632" s="391" t="s">
        <v>382</v>
      </c>
      <c r="E632" s="391"/>
      <c r="F632" s="391"/>
      <c r="G632" s="391"/>
      <c r="H632" s="391"/>
      <c r="I632" s="391"/>
      <c r="J632" s="391"/>
      <c r="K632" s="391"/>
      <c r="L632" s="391" t="s">
        <v>639</v>
      </c>
      <c r="M632" s="391" t="s">
        <v>646</v>
      </c>
      <c r="N632" s="417">
        <v>12.5</v>
      </c>
      <c r="O632" s="417">
        <v>12.5</v>
      </c>
      <c r="P632" s="417"/>
      <c r="Q632" s="595">
        <f t="shared" si="10"/>
        <v>0</v>
      </c>
    </row>
    <row r="633" spans="1:17" ht="16.5" hidden="1" outlineLevel="1">
      <c r="A633" s="125" t="s">
        <v>786</v>
      </c>
      <c r="B633" s="391" t="s">
        <v>514</v>
      </c>
      <c r="C633" s="391" t="s">
        <v>388</v>
      </c>
      <c r="D633" s="391" t="s">
        <v>382</v>
      </c>
      <c r="E633" s="391"/>
      <c r="F633" s="391"/>
      <c r="G633" s="391"/>
      <c r="H633" s="391"/>
      <c r="I633" s="391"/>
      <c r="J633" s="391"/>
      <c r="K633" s="391"/>
      <c r="L633" s="391" t="s">
        <v>639</v>
      </c>
      <c r="M633" s="391" t="s">
        <v>647</v>
      </c>
      <c r="N633" s="417">
        <v>0</v>
      </c>
      <c r="O633" s="417">
        <v>0</v>
      </c>
      <c r="P633" s="417"/>
      <c r="Q633" s="595" t="e">
        <f t="shared" si="10"/>
        <v>#DIV/0!</v>
      </c>
    </row>
    <row r="634" spans="1:17" ht="31.5" hidden="1" outlineLevel="1">
      <c r="A634" s="125" t="s">
        <v>787</v>
      </c>
      <c r="B634" s="391" t="s">
        <v>514</v>
      </c>
      <c r="C634" s="391" t="s">
        <v>388</v>
      </c>
      <c r="D634" s="391" t="s">
        <v>382</v>
      </c>
      <c r="E634" s="391"/>
      <c r="F634" s="391"/>
      <c r="G634" s="391"/>
      <c r="H634" s="391"/>
      <c r="I634" s="391"/>
      <c r="J634" s="391"/>
      <c r="K634" s="391"/>
      <c r="L634" s="391" t="s">
        <v>639</v>
      </c>
      <c r="M634" s="391" t="s">
        <v>648</v>
      </c>
      <c r="N634" s="417">
        <v>3.25</v>
      </c>
      <c r="O634" s="417">
        <v>3.25</v>
      </c>
      <c r="P634" s="417"/>
      <c r="Q634" s="595">
        <f t="shared" si="10"/>
        <v>0</v>
      </c>
    </row>
    <row r="635" spans="1:17" ht="16.5" hidden="1" outlineLevel="1">
      <c r="A635" s="125" t="s">
        <v>510</v>
      </c>
      <c r="B635" s="391" t="s">
        <v>514</v>
      </c>
      <c r="C635" s="391" t="s">
        <v>483</v>
      </c>
      <c r="D635" s="391"/>
      <c r="E635" s="391"/>
      <c r="F635" s="391"/>
      <c r="G635" s="391"/>
      <c r="H635" s="391"/>
      <c r="I635" s="391"/>
      <c r="J635" s="391"/>
      <c r="K635" s="391"/>
      <c r="L635" s="391"/>
      <c r="M635" s="391"/>
      <c r="N635" s="417">
        <v>0</v>
      </c>
      <c r="O635" s="417">
        <v>0</v>
      </c>
      <c r="P635" s="417"/>
      <c r="Q635" s="595" t="e">
        <f t="shared" si="10"/>
        <v>#DIV/0!</v>
      </c>
    </row>
    <row r="636" spans="1:17" ht="16.5" hidden="1" outlineLevel="1">
      <c r="A636" s="125" t="s">
        <v>521</v>
      </c>
      <c r="B636" s="391" t="s">
        <v>514</v>
      </c>
      <c r="C636" s="391" t="s">
        <v>483</v>
      </c>
      <c r="D636" s="391" t="s">
        <v>391</v>
      </c>
      <c r="E636" s="391"/>
      <c r="F636" s="391"/>
      <c r="G636" s="391"/>
      <c r="H636" s="391"/>
      <c r="I636" s="391"/>
      <c r="J636" s="391"/>
      <c r="K636" s="391"/>
      <c r="L636" s="391"/>
      <c r="M636" s="391"/>
      <c r="N636" s="417">
        <v>0</v>
      </c>
      <c r="O636" s="417">
        <v>0</v>
      </c>
      <c r="P636" s="417"/>
      <c r="Q636" s="595" t="e">
        <f t="shared" si="10"/>
        <v>#DIV/0!</v>
      </c>
    </row>
    <row r="637" spans="1:17" ht="63" hidden="1" outlineLevel="1">
      <c r="A637" s="125" t="s">
        <v>842</v>
      </c>
      <c r="B637" s="391" t="s">
        <v>514</v>
      </c>
      <c r="C637" s="391" t="s">
        <v>483</v>
      </c>
      <c r="D637" s="391" t="s">
        <v>391</v>
      </c>
      <c r="E637" s="391" t="s">
        <v>843</v>
      </c>
      <c r="F637" s="391"/>
      <c r="G637" s="391"/>
      <c r="H637" s="391"/>
      <c r="I637" s="391"/>
      <c r="J637" s="391"/>
      <c r="K637" s="391"/>
      <c r="L637" s="391" t="s">
        <v>844</v>
      </c>
      <c r="M637" s="391"/>
      <c r="N637" s="417"/>
      <c r="O637" s="417"/>
      <c r="P637" s="417"/>
      <c r="Q637" s="595" t="e">
        <f t="shared" si="10"/>
        <v>#DIV/0!</v>
      </c>
    </row>
    <row r="638" spans="1:17" ht="63" hidden="1" outlineLevel="1">
      <c r="A638" s="125" t="s">
        <v>842</v>
      </c>
      <c r="B638" s="391" t="s">
        <v>514</v>
      </c>
      <c r="C638" s="391" t="s">
        <v>483</v>
      </c>
      <c r="D638" s="391" t="s">
        <v>391</v>
      </c>
      <c r="E638" s="391" t="s">
        <v>845</v>
      </c>
      <c r="F638" s="391"/>
      <c r="G638" s="391"/>
      <c r="H638" s="391"/>
      <c r="I638" s="391"/>
      <c r="J638" s="391"/>
      <c r="K638" s="391"/>
      <c r="L638" s="391" t="s">
        <v>844</v>
      </c>
      <c r="M638" s="391"/>
      <c r="N638" s="417"/>
      <c r="O638" s="417"/>
      <c r="P638" s="417"/>
      <c r="Q638" s="595" t="e">
        <f t="shared" si="10"/>
        <v>#DIV/0!</v>
      </c>
    </row>
    <row r="639" spans="1:17" s="79" customFormat="1" ht="31.5" outlineLevel="1">
      <c r="A639" s="252" t="s">
        <v>893</v>
      </c>
      <c r="B639" s="362" t="s">
        <v>514</v>
      </c>
      <c r="C639" s="358" t="s">
        <v>388</v>
      </c>
      <c r="D639" s="358" t="s">
        <v>382</v>
      </c>
      <c r="E639" s="358" t="s">
        <v>770</v>
      </c>
      <c r="F639" s="358" t="s">
        <v>478</v>
      </c>
      <c r="G639" s="358" t="s">
        <v>789</v>
      </c>
      <c r="H639" s="358" t="s">
        <v>481</v>
      </c>
      <c r="I639" s="358" t="s">
        <v>770</v>
      </c>
      <c r="J639" s="358" t="s">
        <v>528</v>
      </c>
      <c r="K639" s="358" t="s">
        <v>480</v>
      </c>
      <c r="L639" s="362" t="s">
        <v>369</v>
      </c>
      <c r="M639" s="362"/>
      <c r="N639" s="363">
        <v>4045.63</v>
      </c>
      <c r="O639" s="363">
        <v>4830.04</v>
      </c>
      <c r="P639" s="363">
        <v>4657.28</v>
      </c>
      <c r="Q639" s="595">
        <f t="shared" si="10"/>
        <v>0.9642321802717989</v>
      </c>
    </row>
    <row r="640" spans="1:17" ht="16.5" hidden="1" outlineLevel="1">
      <c r="A640" s="125" t="s">
        <v>774</v>
      </c>
      <c r="B640" s="391" t="s">
        <v>514</v>
      </c>
      <c r="C640" s="72" t="s">
        <v>388</v>
      </c>
      <c r="D640" s="72" t="s">
        <v>382</v>
      </c>
      <c r="E640" s="72"/>
      <c r="F640" s="72"/>
      <c r="G640" s="72"/>
      <c r="H640" s="72"/>
      <c r="I640" s="72"/>
      <c r="J640" s="72"/>
      <c r="K640" s="72"/>
      <c r="L640" s="391" t="s">
        <v>735</v>
      </c>
      <c r="M640" s="391" t="s">
        <v>636</v>
      </c>
      <c r="N640" s="417">
        <v>2851.19</v>
      </c>
      <c r="O640" s="417">
        <v>2851.19</v>
      </c>
      <c r="P640" s="417"/>
      <c r="Q640" s="595">
        <f t="shared" si="10"/>
        <v>0</v>
      </c>
    </row>
    <row r="641" spans="1:17" ht="16.5" hidden="1" outlineLevel="1">
      <c r="A641" s="125" t="s">
        <v>775</v>
      </c>
      <c r="B641" s="391" t="s">
        <v>514</v>
      </c>
      <c r="C641" s="72" t="s">
        <v>388</v>
      </c>
      <c r="D641" s="72" t="s">
        <v>382</v>
      </c>
      <c r="E641" s="72"/>
      <c r="F641" s="72"/>
      <c r="G641" s="72"/>
      <c r="H641" s="72"/>
      <c r="I641" s="72"/>
      <c r="J641" s="72"/>
      <c r="K641" s="72"/>
      <c r="L641" s="391" t="s">
        <v>735</v>
      </c>
      <c r="M641" s="391" t="s">
        <v>637</v>
      </c>
      <c r="N641" s="417">
        <v>861.06</v>
      </c>
      <c r="O641" s="417">
        <v>861.06</v>
      </c>
      <c r="P641" s="417"/>
      <c r="Q641" s="595">
        <f t="shared" si="10"/>
        <v>0</v>
      </c>
    </row>
    <row r="642" spans="1:17" ht="16.5" hidden="1" outlineLevel="1">
      <c r="A642" s="125" t="s">
        <v>784</v>
      </c>
      <c r="B642" s="391" t="s">
        <v>514</v>
      </c>
      <c r="C642" s="72" t="s">
        <v>388</v>
      </c>
      <c r="D642" s="72" t="s">
        <v>382</v>
      </c>
      <c r="E642" s="72"/>
      <c r="F642" s="72"/>
      <c r="G642" s="72"/>
      <c r="H642" s="72"/>
      <c r="I642" s="72"/>
      <c r="J642" s="72"/>
      <c r="K642" s="72"/>
      <c r="L642" s="391" t="s">
        <v>639</v>
      </c>
      <c r="M642" s="391" t="s">
        <v>645</v>
      </c>
      <c r="N642" s="417"/>
      <c r="O642" s="417"/>
      <c r="P642" s="417"/>
      <c r="Q642" s="595" t="e">
        <f t="shared" si="10"/>
        <v>#DIV/0!</v>
      </c>
    </row>
    <row r="643" spans="1:17" ht="16.5" hidden="1" outlineLevel="1">
      <c r="A643" s="125" t="s">
        <v>786</v>
      </c>
      <c r="B643" s="391" t="s">
        <v>514</v>
      </c>
      <c r="C643" s="72" t="s">
        <v>388</v>
      </c>
      <c r="D643" s="72" t="s">
        <v>382</v>
      </c>
      <c r="E643" s="72"/>
      <c r="F643" s="72"/>
      <c r="G643" s="72"/>
      <c r="H643" s="72"/>
      <c r="I643" s="72"/>
      <c r="J643" s="72"/>
      <c r="K643" s="72"/>
      <c r="L643" s="391" t="s">
        <v>639</v>
      </c>
      <c r="M643" s="391" t="s">
        <v>647</v>
      </c>
      <c r="N643" s="417">
        <v>8.89</v>
      </c>
      <c r="O643" s="417">
        <v>8.89</v>
      </c>
      <c r="P643" s="417"/>
      <c r="Q643" s="595">
        <f t="shared" si="10"/>
        <v>0</v>
      </c>
    </row>
    <row r="644" spans="1:17" ht="31.5" hidden="1" outlineLevel="1">
      <c r="A644" s="125" t="s">
        <v>787</v>
      </c>
      <c r="B644" s="391" t="s">
        <v>514</v>
      </c>
      <c r="C644" s="72" t="s">
        <v>388</v>
      </c>
      <c r="D644" s="72" t="s">
        <v>382</v>
      </c>
      <c r="E644" s="72"/>
      <c r="F644" s="72"/>
      <c r="G644" s="72"/>
      <c r="H644" s="72"/>
      <c r="I644" s="72"/>
      <c r="J644" s="72"/>
      <c r="K644" s="72"/>
      <c r="L644" s="391" t="s">
        <v>639</v>
      </c>
      <c r="M644" s="391" t="s">
        <v>648</v>
      </c>
      <c r="N644" s="417">
        <v>30</v>
      </c>
      <c r="O644" s="417">
        <v>30</v>
      </c>
      <c r="P644" s="417"/>
      <c r="Q644" s="595">
        <f t="shared" si="10"/>
        <v>0</v>
      </c>
    </row>
    <row r="645" spans="1:17" s="79" customFormat="1" ht="16.5" outlineLevel="1">
      <c r="A645" s="252" t="s">
        <v>854</v>
      </c>
      <c r="B645" s="362" t="s">
        <v>514</v>
      </c>
      <c r="C645" s="358" t="s">
        <v>388</v>
      </c>
      <c r="D645" s="358" t="s">
        <v>382</v>
      </c>
      <c r="E645" s="358" t="s">
        <v>770</v>
      </c>
      <c r="F645" s="358" t="s">
        <v>478</v>
      </c>
      <c r="G645" s="358" t="s">
        <v>789</v>
      </c>
      <c r="H645" s="358" t="s">
        <v>481</v>
      </c>
      <c r="I645" s="358" t="s">
        <v>770</v>
      </c>
      <c r="J645" s="358" t="s">
        <v>478</v>
      </c>
      <c r="K645" s="358" t="s">
        <v>478</v>
      </c>
      <c r="L645" s="362" t="s">
        <v>369</v>
      </c>
      <c r="M645" s="362"/>
      <c r="N645" s="363">
        <v>135.03</v>
      </c>
      <c r="O645" s="363">
        <v>132.32</v>
      </c>
      <c r="P645" s="363">
        <v>132.32</v>
      </c>
      <c r="Q645" s="595">
        <f t="shared" si="10"/>
        <v>1</v>
      </c>
    </row>
    <row r="646" spans="1:17" ht="16.5" hidden="1" outlineLevel="1">
      <c r="A646" s="125" t="s">
        <v>774</v>
      </c>
      <c r="B646" s="391" t="s">
        <v>514</v>
      </c>
      <c r="C646" s="72" t="s">
        <v>388</v>
      </c>
      <c r="D646" s="72" t="s">
        <v>382</v>
      </c>
      <c r="E646" s="72"/>
      <c r="F646" s="72"/>
      <c r="G646" s="72"/>
      <c r="H646" s="72"/>
      <c r="I646" s="72"/>
      <c r="J646" s="72"/>
      <c r="K646" s="72"/>
      <c r="L646" s="391" t="s">
        <v>735</v>
      </c>
      <c r="M646" s="391" t="s">
        <v>636</v>
      </c>
      <c r="N646" s="417">
        <v>473.57</v>
      </c>
      <c r="O646" s="417">
        <v>473.57</v>
      </c>
      <c r="P646" s="417"/>
      <c r="Q646" s="595">
        <f t="shared" si="10"/>
        <v>0</v>
      </c>
    </row>
    <row r="647" spans="1:17" ht="16.5" hidden="1" outlineLevel="1">
      <c r="A647" s="125" t="s">
        <v>775</v>
      </c>
      <c r="B647" s="391" t="s">
        <v>514</v>
      </c>
      <c r="C647" s="72" t="s">
        <v>388</v>
      </c>
      <c r="D647" s="72" t="s">
        <v>382</v>
      </c>
      <c r="E647" s="72"/>
      <c r="F647" s="72"/>
      <c r="G647" s="72"/>
      <c r="H647" s="72"/>
      <c r="I647" s="72"/>
      <c r="J647" s="72"/>
      <c r="K647" s="72"/>
      <c r="L647" s="391" t="s">
        <v>735</v>
      </c>
      <c r="M647" s="391" t="s">
        <v>637</v>
      </c>
      <c r="N647" s="417">
        <v>143.02</v>
      </c>
      <c r="O647" s="417">
        <v>143.02</v>
      </c>
      <c r="P647" s="417"/>
      <c r="Q647" s="595">
        <f t="shared" si="10"/>
        <v>0</v>
      </c>
    </row>
    <row r="648" spans="1:17" s="79" customFormat="1" ht="31.5" outlineLevel="1">
      <c r="A648" s="252" t="s">
        <v>894</v>
      </c>
      <c r="B648" s="362" t="s">
        <v>514</v>
      </c>
      <c r="C648" s="358" t="s">
        <v>483</v>
      </c>
      <c r="D648" s="358" t="s">
        <v>387</v>
      </c>
      <c r="E648" s="358" t="s">
        <v>770</v>
      </c>
      <c r="F648" s="358" t="s">
        <v>478</v>
      </c>
      <c r="G648" s="358" t="s">
        <v>789</v>
      </c>
      <c r="H648" s="358" t="s">
        <v>481</v>
      </c>
      <c r="I648" s="358" t="s">
        <v>770</v>
      </c>
      <c r="J648" s="358" t="s">
        <v>478</v>
      </c>
      <c r="K648" s="358" t="s">
        <v>480</v>
      </c>
      <c r="L648" s="362" t="s">
        <v>369</v>
      </c>
      <c r="M648" s="362"/>
      <c r="N648" s="363">
        <v>133</v>
      </c>
      <c r="O648" s="363">
        <v>102.33</v>
      </c>
      <c r="P648" s="363">
        <v>102.33</v>
      </c>
      <c r="Q648" s="595">
        <f t="shared" si="10"/>
        <v>1</v>
      </c>
    </row>
    <row r="649" spans="1:17" ht="16.5" hidden="1" outlineLevel="1">
      <c r="A649" s="125" t="s">
        <v>784</v>
      </c>
      <c r="B649" s="391" t="s">
        <v>514</v>
      </c>
      <c r="C649" s="72" t="s">
        <v>388</v>
      </c>
      <c r="D649" s="72" t="s">
        <v>382</v>
      </c>
      <c r="E649" s="72"/>
      <c r="F649" s="72"/>
      <c r="G649" s="72"/>
      <c r="H649" s="72"/>
      <c r="I649" s="72"/>
      <c r="J649" s="72"/>
      <c r="K649" s="72"/>
      <c r="L649" s="391" t="s">
        <v>639</v>
      </c>
      <c r="M649" s="391" t="s">
        <v>645</v>
      </c>
      <c r="N649" s="417"/>
      <c r="O649" s="417"/>
      <c r="P649" s="417"/>
      <c r="Q649" s="595" t="e">
        <f t="shared" si="10"/>
        <v>#DIV/0!</v>
      </c>
    </row>
    <row r="650" spans="1:17" ht="16.5" hidden="1" outlineLevel="1">
      <c r="A650" s="125" t="s">
        <v>855</v>
      </c>
      <c r="B650" s="391" t="s">
        <v>514</v>
      </c>
      <c r="C650" s="72" t="s">
        <v>388</v>
      </c>
      <c r="D650" s="72" t="s">
        <v>382</v>
      </c>
      <c r="E650" s="72"/>
      <c r="F650" s="72"/>
      <c r="G650" s="72"/>
      <c r="H650" s="72"/>
      <c r="I650" s="72"/>
      <c r="J650" s="72"/>
      <c r="K650" s="72"/>
      <c r="L650" s="391" t="s">
        <v>733</v>
      </c>
      <c r="M650" s="391" t="s">
        <v>680</v>
      </c>
      <c r="N650" s="417">
        <v>133</v>
      </c>
      <c r="O650" s="417">
        <v>133</v>
      </c>
      <c r="P650" s="417"/>
      <c r="Q650" s="595">
        <f t="shared" si="10"/>
        <v>0</v>
      </c>
    </row>
    <row r="651" spans="1:17" s="79" customFormat="1" ht="31.5" outlineLevel="1">
      <c r="A651" s="252" t="s">
        <v>856</v>
      </c>
      <c r="B651" s="362" t="s">
        <v>514</v>
      </c>
      <c r="C651" s="358" t="s">
        <v>388</v>
      </c>
      <c r="D651" s="358" t="s">
        <v>382</v>
      </c>
      <c r="E651" s="358" t="s">
        <v>770</v>
      </c>
      <c r="F651" s="358" t="s">
        <v>478</v>
      </c>
      <c r="G651" s="358" t="s">
        <v>789</v>
      </c>
      <c r="H651" s="358" t="s">
        <v>481</v>
      </c>
      <c r="I651" s="358" t="s">
        <v>770</v>
      </c>
      <c r="J651" s="358" t="s">
        <v>478</v>
      </c>
      <c r="K651" s="358" t="s">
        <v>481</v>
      </c>
      <c r="L651" s="362" t="s">
        <v>369</v>
      </c>
      <c r="M651" s="362"/>
      <c r="N651" s="363">
        <v>27.86</v>
      </c>
      <c r="O651" s="363">
        <v>12.68</v>
      </c>
      <c r="P651" s="363">
        <v>12.68</v>
      </c>
      <c r="Q651" s="595">
        <f t="shared" si="10"/>
        <v>1</v>
      </c>
    </row>
    <row r="652" spans="1:17" ht="31.5" hidden="1" outlineLevel="1">
      <c r="A652" s="125" t="s">
        <v>787</v>
      </c>
      <c r="B652" s="391" t="s">
        <v>514</v>
      </c>
      <c r="C652" s="358" t="s">
        <v>388</v>
      </c>
      <c r="D652" s="358" t="s">
        <v>382</v>
      </c>
      <c r="E652" s="358"/>
      <c r="F652" s="358"/>
      <c r="G652" s="358"/>
      <c r="H652" s="358"/>
      <c r="I652" s="358"/>
      <c r="J652" s="358"/>
      <c r="K652" s="358"/>
      <c r="L652" s="391" t="s">
        <v>639</v>
      </c>
      <c r="M652" s="391" t="s">
        <v>648</v>
      </c>
      <c r="N652" s="417">
        <v>27.86</v>
      </c>
      <c r="O652" s="417">
        <v>27.86</v>
      </c>
      <c r="P652" s="417"/>
      <c r="Q652" s="595">
        <f aca="true" t="shared" si="11" ref="Q652:Q715">P652/O652</f>
        <v>0</v>
      </c>
    </row>
    <row r="653" spans="1:17" s="79" customFormat="1" ht="31.5" outlineLevel="1">
      <c r="A653" s="252" t="s">
        <v>857</v>
      </c>
      <c r="B653" s="358" t="s">
        <v>514</v>
      </c>
      <c r="C653" s="358" t="s">
        <v>388</v>
      </c>
      <c r="D653" s="358" t="s">
        <v>382</v>
      </c>
      <c r="E653" s="72" t="s">
        <v>770</v>
      </c>
      <c r="F653" s="72" t="s">
        <v>528</v>
      </c>
      <c r="G653" s="72" t="s">
        <v>478</v>
      </c>
      <c r="H653" s="72" t="s">
        <v>770</v>
      </c>
      <c r="I653" s="72" t="s">
        <v>528</v>
      </c>
      <c r="J653" s="72" t="s">
        <v>770</v>
      </c>
      <c r="K653" s="72" t="s">
        <v>479</v>
      </c>
      <c r="L653" s="362" t="s">
        <v>369</v>
      </c>
      <c r="M653" s="362"/>
      <c r="N653" s="363">
        <f>26.57+2.6</f>
        <v>29.17</v>
      </c>
      <c r="O653" s="363">
        <v>185.1</v>
      </c>
      <c r="P653" s="363">
        <v>185.1</v>
      </c>
      <c r="Q653" s="595">
        <f t="shared" si="11"/>
        <v>1</v>
      </c>
    </row>
    <row r="654" spans="1:17" ht="31.5" hidden="1" outlineLevel="1">
      <c r="A654" s="125" t="s">
        <v>787</v>
      </c>
      <c r="B654" s="72" t="s">
        <v>514</v>
      </c>
      <c r="C654" s="72" t="s">
        <v>388</v>
      </c>
      <c r="D654" s="72" t="s">
        <v>382</v>
      </c>
      <c r="E654" s="72"/>
      <c r="F654" s="72"/>
      <c r="G654" s="72"/>
      <c r="H654" s="72"/>
      <c r="I654" s="72"/>
      <c r="J654" s="72"/>
      <c r="K654" s="72"/>
      <c r="L654" s="391" t="s">
        <v>639</v>
      </c>
      <c r="M654" s="391" t="s">
        <v>648</v>
      </c>
      <c r="N654" s="417">
        <v>26.57</v>
      </c>
      <c r="O654" s="417">
        <v>26.57</v>
      </c>
      <c r="P654" s="417"/>
      <c r="Q654" s="595">
        <f t="shared" si="11"/>
        <v>0</v>
      </c>
    </row>
    <row r="655" spans="1:17" s="79" customFormat="1" ht="31.5" outlineLevel="1">
      <c r="A655" s="252" t="s">
        <v>895</v>
      </c>
      <c r="B655" s="358" t="s">
        <v>514</v>
      </c>
      <c r="C655" s="358" t="s">
        <v>388</v>
      </c>
      <c r="D655" s="358" t="s">
        <v>382</v>
      </c>
      <c r="E655" s="72" t="s">
        <v>770</v>
      </c>
      <c r="F655" s="72" t="s">
        <v>528</v>
      </c>
      <c r="G655" s="72" t="s">
        <v>478</v>
      </c>
      <c r="H655" s="72" t="s">
        <v>770</v>
      </c>
      <c r="I655" s="72" t="s">
        <v>528</v>
      </c>
      <c r="J655" s="72" t="s">
        <v>770</v>
      </c>
      <c r="K655" s="72" t="s">
        <v>480</v>
      </c>
      <c r="L655" s="362" t="s">
        <v>369</v>
      </c>
      <c r="M655" s="362"/>
      <c r="N655" s="363">
        <v>0</v>
      </c>
      <c r="O655" s="363">
        <v>267.7</v>
      </c>
      <c r="P655" s="363">
        <v>267.7</v>
      </c>
      <c r="Q655" s="595">
        <f t="shared" si="11"/>
        <v>1</v>
      </c>
    </row>
    <row r="656" spans="1:17" ht="16.5" hidden="1" outlineLevel="1">
      <c r="A656" s="125" t="s">
        <v>774</v>
      </c>
      <c r="B656" s="391" t="s">
        <v>514</v>
      </c>
      <c r="C656" s="391" t="s">
        <v>388</v>
      </c>
      <c r="D656" s="391" t="s">
        <v>382</v>
      </c>
      <c r="E656" s="391"/>
      <c r="F656" s="391"/>
      <c r="G656" s="391"/>
      <c r="H656" s="391"/>
      <c r="I656" s="391"/>
      <c r="J656" s="391"/>
      <c r="K656" s="391"/>
      <c r="L656" s="391" t="s">
        <v>639</v>
      </c>
      <c r="M656" s="391" t="s">
        <v>636</v>
      </c>
      <c r="N656" s="417"/>
      <c r="O656" s="417"/>
      <c r="P656" s="417"/>
      <c r="Q656" s="595" t="e">
        <f t="shared" si="11"/>
        <v>#DIV/0!</v>
      </c>
    </row>
    <row r="657" spans="1:17" ht="16.5" hidden="1" outlineLevel="1">
      <c r="A657" s="125" t="s">
        <v>775</v>
      </c>
      <c r="B657" s="391" t="s">
        <v>514</v>
      </c>
      <c r="C657" s="391" t="s">
        <v>388</v>
      </c>
      <c r="D657" s="391" t="s">
        <v>382</v>
      </c>
      <c r="E657" s="391"/>
      <c r="F657" s="391"/>
      <c r="G657" s="391"/>
      <c r="H657" s="391"/>
      <c r="I657" s="391"/>
      <c r="J657" s="391"/>
      <c r="K657" s="391"/>
      <c r="L657" s="391" t="s">
        <v>639</v>
      </c>
      <c r="M657" s="391" t="s">
        <v>637</v>
      </c>
      <c r="N657" s="417"/>
      <c r="O657" s="417"/>
      <c r="P657" s="417"/>
      <c r="Q657" s="595" t="e">
        <f t="shared" si="11"/>
        <v>#DIV/0!</v>
      </c>
    </row>
    <row r="658" spans="1:17" ht="31.5" hidden="1" outlineLevel="1">
      <c r="A658" s="125" t="s">
        <v>787</v>
      </c>
      <c r="B658" s="391" t="s">
        <v>514</v>
      </c>
      <c r="C658" s="391" t="s">
        <v>388</v>
      </c>
      <c r="D658" s="391" t="s">
        <v>382</v>
      </c>
      <c r="E658" s="391"/>
      <c r="F658" s="391"/>
      <c r="G658" s="391"/>
      <c r="H658" s="391"/>
      <c r="I658" s="391"/>
      <c r="J658" s="391"/>
      <c r="K658" s="391"/>
      <c r="L658" s="391" t="s">
        <v>639</v>
      </c>
      <c r="M658" s="391" t="s">
        <v>648</v>
      </c>
      <c r="N658" s="417"/>
      <c r="O658" s="417"/>
      <c r="P658" s="417"/>
      <c r="Q658" s="595" t="e">
        <f t="shared" si="11"/>
        <v>#DIV/0!</v>
      </c>
    </row>
    <row r="659" spans="1:17" ht="30" outlineLevel="1">
      <c r="A659" s="62" t="s">
        <v>864</v>
      </c>
      <c r="B659" s="74" t="s">
        <v>514</v>
      </c>
      <c r="C659" s="74" t="s">
        <v>388</v>
      </c>
      <c r="D659" s="74" t="s">
        <v>388</v>
      </c>
      <c r="E659" s="74" t="s">
        <v>770</v>
      </c>
      <c r="F659" s="74" t="s">
        <v>528</v>
      </c>
      <c r="G659" s="74" t="s">
        <v>479</v>
      </c>
      <c r="H659" s="74" t="s">
        <v>770</v>
      </c>
      <c r="I659" s="74" t="s">
        <v>528</v>
      </c>
      <c r="J659" s="74" t="s">
        <v>770</v>
      </c>
      <c r="K659" s="74" t="s">
        <v>479</v>
      </c>
      <c r="L659" s="74" t="s">
        <v>778</v>
      </c>
      <c r="M659" s="74"/>
      <c r="N659" s="566"/>
      <c r="O659" s="568">
        <v>38.16</v>
      </c>
      <c r="P659" s="568">
        <v>38.16</v>
      </c>
      <c r="Q659" s="595">
        <f t="shared" si="11"/>
        <v>1</v>
      </c>
    </row>
    <row r="660" spans="1:17" ht="45" outlineLevel="1">
      <c r="A660" s="51" t="s">
        <v>866</v>
      </c>
      <c r="B660" s="391" t="s">
        <v>514</v>
      </c>
      <c r="C660" s="391" t="s">
        <v>388</v>
      </c>
      <c r="D660" s="391" t="s">
        <v>382</v>
      </c>
      <c r="E660" s="391" t="s">
        <v>770</v>
      </c>
      <c r="F660" s="391" t="s">
        <v>528</v>
      </c>
      <c r="G660" s="391" t="s">
        <v>478</v>
      </c>
      <c r="H660" s="391" t="s">
        <v>770</v>
      </c>
      <c r="I660" s="391" t="s">
        <v>528</v>
      </c>
      <c r="J660" s="391" t="s">
        <v>770</v>
      </c>
      <c r="K660" s="391" t="s">
        <v>470</v>
      </c>
      <c r="L660" s="391" t="s">
        <v>778</v>
      </c>
      <c r="M660" s="391"/>
      <c r="N660" s="417"/>
      <c r="O660" s="570">
        <v>20</v>
      </c>
      <c r="P660" s="570">
        <v>20</v>
      </c>
      <c r="Q660" s="595">
        <f t="shared" si="11"/>
        <v>1</v>
      </c>
    </row>
    <row r="661" spans="1:17" ht="45" outlineLevel="1">
      <c r="A661" s="51" t="s">
        <v>866</v>
      </c>
      <c r="B661" s="73" t="s">
        <v>514</v>
      </c>
      <c r="C661" s="73" t="s">
        <v>388</v>
      </c>
      <c r="D661" s="73" t="s">
        <v>385</v>
      </c>
      <c r="E661" s="391" t="s">
        <v>770</v>
      </c>
      <c r="F661" s="391" t="s">
        <v>528</v>
      </c>
      <c r="G661" s="391" t="s">
        <v>546</v>
      </c>
      <c r="H661" s="391" t="s">
        <v>770</v>
      </c>
      <c r="I661" s="391" t="s">
        <v>528</v>
      </c>
      <c r="J661" s="391" t="s">
        <v>770</v>
      </c>
      <c r="K661" s="391" t="s">
        <v>546</v>
      </c>
      <c r="L661" s="73" t="s">
        <v>778</v>
      </c>
      <c r="M661" s="73"/>
      <c r="N661" s="371"/>
      <c r="O661" s="569">
        <v>1111.79</v>
      </c>
      <c r="P661" s="569">
        <v>1111.79</v>
      </c>
      <c r="Q661" s="595">
        <f t="shared" si="11"/>
        <v>1</v>
      </c>
    </row>
    <row r="662" spans="1:18" s="397" customFormat="1" ht="42" customHeight="1" outlineLevel="1">
      <c r="A662" s="418" t="s">
        <v>899</v>
      </c>
      <c r="B662" s="419" t="s">
        <v>514</v>
      </c>
      <c r="C662" s="419"/>
      <c r="D662" s="419"/>
      <c r="E662" s="419"/>
      <c r="F662" s="419"/>
      <c r="G662" s="419"/>
      <c r="H662" s="419"/>
      <c r="I662" s="419"/>
      <c r="J662" s="419"/>
      <c r="K662" s="419"/>
      <c r="L662" s="419"/>
      <c r="M662" s="419"/>
      <c r="N662" s="420">
        <f>N666+N670+N684+N690+N693+N696+N698</f>
        <v>6017.32</v>
      </c>
      <c r="O662" s="420">
        <f>O666+O670+O684+O690+O693+O696+O698+O704+O705</f>
        <v>6112.34</v>
      </c>
      <c r="P662" s="420">
        <f>P666+P670+P684+P690+P693+P696+P698+P704+P705</f>
        <v>5939.580000000001</v>
      </c>
      <c r="Q662" s="595">
        <f t="shared" si="11"/>
        <v>0.9717358654786875</v>
      </c>
      <c r="R662" s="571">
        <f>O666+O670+O684+O690+O696+O698+O704+O705</f>
        <v>6112.34</v>
      </c>
    </row>
    <row r="663" spans="1:17" ht="16.5" outlineLevel="1">
      <c r="A663" s="125" t="s">
        <v>509</v>
      </c>
      <c r="B663" s="391" t="s">
        <v>514</v>
      </c>
      <c r="C663" s="391" t="s">
        <v>388</v>
      </c>
      <c r="D663" s="391"/>
      <c r="E663" s="391"/>
      <c r="F663" s="391"/>
      <c r="G663" s="391"/>
      <c r="H663" s="391"/>
      <c r="I663" s="391"/>
      <c r="J663" s="391"/>
      <c r="K663" s="391"/>
      <c r="L663" s="391"/>
      <c r="M663" s="391"/>
      <c r="N663" s="417">
        <v>5837.929999999999</v>
      </c>
      <c r="O663" s="417">
        <f>O664</f>
        <v>6112.34</v>
      </c>
      <c r="P663" s="417">
        <f>P664</f>
        <v>5939.580000000001</v>
      </c>
      <c r="Q663" s="595">
        <f t="shared" si="11"/>
        <v>0.9717358654786875</v>
      </c>
    </row>
    <row r="664" spans="1:17" ht="16.5" outlineLevel="1">
      <c r="A664" s="125" t="s">
        <v>512</v>
      </c>
      <c r="B664" s="391" t="s">
        <v>514</v>
      </c>
      <c r="C664" s="391" t="s">
        <v>388</v>
      </c>
      <c r="D664" s="391" t="s">
        <v>382</v>
      </c>
      <c r="E664" s="391"/>
      <c r="F664" s="391"/>
      <c r="G664" s="391"/>
      <c r="H664" s="391"/>
      <c r="I664" s="391"/>
      <c r="J664" s="391"/>
      <c r="K664" s="391"/>
      <c r="L664" s="391"/>
      <c r="M664" s="391"/>
      <c r="N664" s="417">
        <v>5837.929999999999</v>
      </c>
      <c r="O664" s="417">
        <f>O665+O684+O690+O693+O696+O698+O704+O705</f>
        <v>6112.34</v>
      </c>
      <c r="P664" s="417">
        <f>P665+P684+P690+P693+P696+P698+P704+P705</f>
        <v>5939.580000000001</v>
      </c>
      <c r="Q664" s="595">
        <f t="shared" si="11"/>
        <v>0.9717358654786875</v>
      </c>
    </row>
    <row r="665" spans="1:17" ht="47.25" outlineLevel="1">
      <c r="A665" s="125" t="s">
        <v>892</v>
      </c>
      <c r="B665" s="391" t="s">
        <v>514</v>
      </c>
      <c r="C665" s="391" t="s">
        <v>388</v>
      </c>
      <c r="D665" s="391" t="s">
        <v>382</v>
      </c>
      <c r="E665" s="391" t="s">
        <v>770</v>
      </c>
      <c r="F665" s="391" t="s">
        <v>528</v>
      </c>
      <c r="G665" s="391"/>
      <c r="H665" s="391"/>
      <c r="I665" s="391"/>
      <c r="J665" s="391"/>
      <c r="K665" s="391"/>
      <c r="L665" s="391" t="s">
        <v>369</v>
      </c>
      <c r="M665" s="391"/>
      <c r="N665" s="417">
        <v>433.69</v>
      </c>
      <c r="O665" s="417">
        <f>O666+O670</f>
        <v>835.6</v>
      </c>
      <c r="P665" s="417">
        <f>P666+P670</f>
        <v>835.6</v>
      </c>
      <c r="Q665" s="595">
        <f t="shared" si="11"/>
        <v>1</v>
      </c>
    </row>
    <row r="666" spans="1:17" ht="31.5" outlineLevel="1">
      <c r="A666" s="125" t="s">
        <v>850</v>
      </c>
      <c r="B666" s="391" t="s">
        <v>514</v>
      </c>
      <c r="C666" s="391" t="s">
        <v>388</v>
      </c>
      <c r="D666" s="391" t="s">
        <v>382</v>
      </c>
      <c r="E666" s="391" t="s">
        <v>770</v>
      </c>
      <c r="F666" s="391" t="s">
        <v>528</v>
      </c>
      <c r="G666" s="391" t="s">
        <v>478</v>
      </c>
      <c r="H666" s="391" t="s">
        <v>770</v>
      </c>
      <c r="I666" s="391" t="s">
        <v>528</v>
      </c>
      <c r="J666" s="391" t="s">
        <v>770</v>
      </c>
      <c r="K666" s="391" t="s">
        <v>528</v>
      </c>
      <c r="L666" s="391" t="s">
        <v>773</v>
      </c>
      <c r="M666" s="391"/>
      <c r="N666" s="417">
        <v>288.87</v>
      </c>
      <c r="O666" s="417">
        <v>336.24</v>
      </c>
      <c r="P666" s="417">
        <v>336.24</v>
      </c>
      <c r="Q666" s="595">
        <f t="shared" si="11"/>
        <v>1</v>
      </c>
    </row>
    <row r="667" spans="1:17" ht="16.5" hidden="1" outlineLevel="1">
      <c r="A667" s="125" t="s">
        <v>774</v>
      </c>
      <c r="B667" s="391" t="s">
        <v>514</v>
      </c>
      <c r="C667" s="391" t="s">
        <v>388</v>
      </c>
      <c r="D667" s="391" t="s">
        <v>382</v>
      </c>
      <c r="E667" s="391"/>
      <c r="F667" s="391"/>
      <c r="G667" s="391"/>
      <c r="H667" s="391"/>
      <c r="I667" s="391"/>
      <c r="J667" s="391"/>
      <c r="K667" s="391"/>
      <c r="L667" s="391" t="s">
        <v>735</v>
      </c>
      <c r="M667" s="391" t="s">
        <v>636</v>
      </c>
      <c r="N667" s="417"/>
      <c r="O667" s="417"/>
      <c r="P667" s="417"/>
      <c r="Q667" s="595" t="e">
        <f t="shared" si="11"/>
        <v>#DIV/0!</v>
      </c>
    </row>
    <row r="668" spans="1:17" ht="16.5" hidden="1" outlineLevel="1">
      <c r="A668" s="125" t="s">
        <v>776</v>
      </c>
      <c r="B668" s="391" t="s">
        <v>514</v>
      </c>
      <c r="C668" s="391" t="s">
        <v>388</v>
      </c>
      <c r="D668" s="391" t="s">
        <v>382</v>
      </c>
      <c r="E668" s="391"/>
      <c r="F668" s="391"/>
      <c r="G668" s="391"/>
      <c r="H668" s="391"/>
      <c r="I668" s="391"/>
      <c r="J668" s="391"/>
      <c r="K668" s="391"/>
      <c r="L668" s="391" t="s">
        <v>676</v>
      </c>
      <c r="M668" s="391" t="s">
        <v>660</v>
      </c>
      <c r="N668" s="417">
        <v>11.5</v>
      </c>
      <c r="O668" s="417">
        <v>11.5</v>
      </c>
      <c r="P668" s="417"/>
      <c r="Q668" s="595">
        <f t="shared" si="11"/>
        <v>0</v>
      </c>
    </row>
    <row r="669" spans="1:17" ht="16.5" hidden="1" outlineLevel="1">
      <c r="A669" s="125" t="s">
        <v>775</v>
      </c>
      <c r="B669" s="391" t="s">
        <v>514</v>
      </c>
      <c r="C669" s="391" t="s">
        <v>388</v>
      </c>
      <c r="D669" s="391" t="s">
        <v>382</v>
      </c>
      <c r="E669" s="391"/>
      <c r="F669" s="391"/>
      <c r="G669" s="391"/>
      <c r="H669" s="391"/>
      <c r="I669" s="391"/>
      <c r="J669" s="391"/>
      <c r="K669" s="391"/>
      <c r="L669" s="391" t="s">
        <v>735</v>
      </c>
      <c r="M669" s="391" t="s">
        <v>637</v>
      </c>
      <c r="N669" s="417"/>
      <c r="O669" s="417"/>
      <c r="P669" s="417"/>
      <c r="Q669" s="595" t="e">
        <f t="shared" si="11"/>
        <v>#DIV/0!</v>
      </c>
    </row>
    <row r="670" spans="1:17" ht="31.5" outlineLevel="1">
      <c r="A670" s="125" t="s">
        <v>777</v>
      </c>
      <c r="B670" s="391" t="s">
        <v>514</v>
      </c>
      <c r="C670" s="391" t="s">
        <v>388</v>
      </c>
      <c r="D670" s="391" t="s">
        <v>382</v>
      </c>
      <c r="E670" s="391" t="s">
        <v>770</v>
      </c>
      <c r="F670" s="391" t="s">
        <v>528</v>
      </c>
      <c r="G670" s="391" t="s">
        <v>478</v>
      </c>
      <c r="H670" s="391" t="s">
        <v>770</v>
      </c>
      <c r="I670" s="391" t="s">
        <v>528</v>
      </c>
      <c r="J670" s="391" t="s">
        <v>770</v>
      </c>
      <c r="K670" s="391" t="s">
        <v>478</v>
      </c>
      <c r="L670" s="391" t="s">
        <v>778</v>
      </c>
      <c r="M670" s="391"/>
      <c r="N670" s="417">
        <v>422.19</v>
      </c>
      <c r="O670" s="417">
        <v>499.36</v>
      </c>
      <c r="P670" s="417">
        <v>499.36</v>
      </c>
      <c r="Q670" s="595">
        <f t="shared" si="11"/>
        <v>1</v>
      </c>
    </row>
    <row r="671" spans="1:17" ht="16.5" hidden="1" outlineLevel="1">
      <c r="A671" s="125" t="s">
        <v>779</v>
      </c>
      <c r="B671" s="391" t="s">
        <v>514</v>
      </c>
      <c r="C671" s="391" t="s">
        <v>388</v>
      </c>
      <c r="D671" s="391" t="s">
        <v>382</v>
      </c>
      <c r="E671" s="391"/>
      <c r="F671" s="391"/>
      <c r="G671" s="391"/>
      <c r="H671" s="391"/>
      <c r="I671" s="391"/>
      <c r="J671" s="391"/>
      <c r="K671" s="391"/>
      <c r="L671" s="391" t="s">
        <v>639</v>
      </c>
      <c r="M671" s="391" t="s">
        <v>640</v>
      </c>
      <c r="N671" s="417">
        <v>8.8</v>
      </c>
      <c r="O671" s="417">
        <v>8.8</v>
      </c>
      <c r="P671" s="417"/>
      <c r="Q671" s="595">
        <f t="shared" si="11"/>
        <v>0</v>
      </c>
    </row>
    <row r="672" spans="1:17" ht="16.5" hidden="1" outlineLevel="1">
      <c r="A672" s="125" t="s">
        <v>780</v>
      </c>
      <c r="B672" s="391" t="s">
        <v>514</v>
      </c>
      <c r="C672" s="391" t="s">
        <v>388</v>
      </c>
      <c r="D672" s="391" t="s">
        <v>382</v>
      </c>
      <c r="E672" s="391"/>
      <c r="F672" s="391"/>
      <c r="G672" s="391"/>
      <c r="H672" s="391"/>
      <c r="I672" s="391"/>
      <c r="J672" s="391"/>
      <c r="K672" s="391"/>
      <c r="L672" s="391" t="s">
        <v>639</v>
      </c>
      <c r="M672" s="391" t="s">
        <v>641</v>
      </c>
      <c r="N672" s="417">
        <v>4.67</v>
      </c>
      <c r="O672" s="417">
        <v>4.67</v>
      </c>
      <c r="P672" s="417"/>
      <c r="Q672" s="595">
        <f t="shared" si="11"/>
        <v>0</v>
      </c>
    </row>
    <row r="673" spans="1:17" ht="16.5" hidden="1" outlineLevel="1">
      <c r="A673" s="125" t="s">
        <v>781</v>
      </c>
      <c r="B673" s="391" t="s">
        <v>514</v>
      </c>
      <c r="C673" s="391" t="s">
        <v>388</v>
      </c>
      <c r="D673" s="391" t="s">
        <v>382</v>
      </c>
      <c r="E673" s="391"/>
      <c r="F673" s="391"/>
      <c r="G673" s="391"/>
      <c r="H673" s="391"/>
      <c r="I673" s="391"/>
      <c r="J673" s="391"/>
      <c r="K673" s="391"/>
      <c r="L673" s="391" t="s">
        <v>639</v>
      </c>
      <c r="M673" s="391" t="s">
        <v>642</v>
      </c>
      <c r="N673" s="417">
        <v>161.87</v>
      </c>
      <c r="O673" s="417">
        <v>161.87</v>
      </c>
      <c r="P673" s="417"/>
      <c r="Q673" s="595">
        <f t="shared" si="11"/>
        <v>0</v>
      </c>
    </row>
    <row r="674" spans="1:17" ht="16.5" hidden="1" outlineLevel="1">
      <c r="A674" s="125" t="s">
        <v>782</v>
      </c>
      <c r="B674" s="391" t="s">
        <v>514</v>
      </c>
      <c r="C674" s="391" t="s">
        <v>388</v>
      </c>
      <c r="D674" s="391" t="s">
        <v>382</v>
      </c>
      <c r="E674" s="391"/>
      <c r="F674" s="391"/>
      <c r="G674" s="391"/>
      <c r="H674" s="391"/>
      <c r="I674" s="391"/>
      <c r="J674" s="391"/>
      <c r="K674" s="391"/>
      <c r="L674" s="391" t="s">
        <v>639</v>
      </c>
      <c r="M674" s="391" t="s">
        <v>643</v>
      </c>
      <c r="N674" s="417"/>
      <c r="O674" s="417"/>
      <c r="P674" s="417"/>
      <c r="Q674" s="595" t="e">
        <f t="shared" si="11"/>
        <v>#DIV/0!</v>
      </c>
    </row>
    <row r="675" spans="1:17" ht="16.5" hidden="1" outlineLevel="1">
      <c r="A675" s="125" t="s">
        <v>783</v>
      </c>
      <c r="B675" s="391" t="s">
        <v>514</v>
      </c>
      <c r="C675" s="391" t="s">
        <v>388</v>
      </c>
      <c r="D675" s="391" t="s">
        <v>382</v>
      </c>
      <c r="E675" s="391"/>
      <c r="F675" s="391"/>
      <c r="G675" s="391"/>
      <c r="H675" s="391"/>
      <c r="I675" s="391"/>
      <c r="J675" s="391"/>
      <c r="K675" s="391"/>
      <c r="L675" s="391" t="s">
        <v>639</v>
      </c>
      <c r="M675" s="391" t="s">
        <v>644</v>
      </c>
      <c r="N675" s="417">
        <v>53.26</v>
      </c>
      <c r="O675" s="417">
        <v>53.26</v>
      </c>
      <c r="P675" s="417"/>
      <c r="Q675" s="595">
        <f t="shared" si="11"/>
        <v>0</v>
      </c>
    </row>
    <row r="676" spans="1:17" ht="16.5" hidden="1" outlineLevel="1">
      <c r="A676" s="125" t="s">
        <v>784</v>
      </c>
      <c r="B676" s="391" t="s">
        <v>514</v>
      </c>
      <c r="C676" s="391" t="s">
        <v>388</v>
      </c>
      <c r="D676" s="391" t="s">
        <v>382</v>
      </c>
      <c r="E676" s="391"/>
      <c r="F676" s="391"/>
      <c r="G676" s="391"/>
      <c r="H676" s="391"/>
      <c r="I676" s="391"/>
      <c r="J676" s="391"/>
      <c r="K676" s="391"/>
      <c r="L676" s="391" t="s">
        <v>639</v>
      </c>
      <c r="M676" s="391" t="s">
        <v>645</v>
      </c>
      <c r="N676" s="417">
        <v>52.66</v>
      </c>
      <c r="O676" s="417">
        <v>52.66</v>
      </c>
      <c r="P676" s="417"/>
      <c r="Q676" s="595">
        <f t="shared" si="11"/>
        <v>0</v>
      </c>
    </row>
    <row r="677" spans="1:17" ht="16.5" hidden="1" outlineLevel="1">
      <c r="A677" s="125" t="s">
        <v>785</v>
      </c>
      <c r="B677" s="391" t="s">
        <v>514</v>
      </c>
      <c r="C677" s="391" t="s">
        <v>388</v>
      </c>
      <c r="D677" s="391" t="s">
        <v>382</v>
      </c>
      <c r="E677" s="391"/>
      <c r="F677" s="391"/>
      <c r="G677" s="391"/>
      <c r="H677" s="391"/>
      <c r="I677" s="391"/>
      <c r="J677" s="391"/>
      <c r="K677" s="391"/>
      <c r="L677" s="391" t="s">
        <v>639</v>
      </c>
      <c r="M677" s="391" t="s">
        <v>646</v>
      </c>
      <c r="N677" s="417">
        <v>16</v>
      </c>
      <c r="O677" s="417">
        <v>16</v>
      </c>
      <c r="P677" s="417"/>
      <c r="Q677" s="595">
        <f t="shared" si="11"/>
        <v>0</v>
      </c>
    </row>
    <row r="678" spans="1:17" ht="16.5" hidden="1" outlineLevel="1">
      <c r="A678" s="125" t="s">
        <v>786</v>
      </c>
      <c r="B678" s="391" t="s">
        <v>514</v>
      </c>
      <c r="C678" s="391" t="s">
        <v>388</v>
      </c>
      <c r="D678" s="391" t="s">
        <v>382</v>
      </c>
      <c r="E678" s="391"/>
      <c r="F678" s="391"/>
      <c r="G678" s="391"/>
      <c r="H678" s="391"/>
      <c r="I678" s="391"/>
      <c r="J678" s="391"/>
      <c r="K678" s="391"/>
      <c r="L678" s="391" t="s">
        <v>639</v>
      </c>
      <c r="M678" s="391" t="s">
        <v>647</v>
      </c>
      <c r="N678" s="417">
        <v>7</v>
      </c>
      <c r="O678" s="417">
        <v>7</v>
      </c>
      <c r="P678" s="417"/>
      <c r="Q678" s="595">
        <f t="shared" si="11"/>
        <v>0</v>
      </c>
    </row>
    <row r="679" spans="1:17" ht="31.5" hidden="1" outlineLevel="1">
      <c r="A679" s="125" t="s">
        <v>787</v>
      </c>
      <c r="B679" s="391" t="s">
        <v>514</v>
      </c>
      <c r="C679" s="391" t="s">
        <v>388</v>
      </c>
      <c r="D679" s="391" t="s">
        <v>382</v>
      </c>
      <c r="E679" s="391"/>
      <c r="F679" s="391"/>
      <c r="G679" s="391"/>
      <c r="H679" s="391"/>
      <c r="I679" s="391"/>
      <c r="J679" s="391"/>
      <c r="K679" s="391"/>
      <c r="L679" s="391" t="s">
        <v>639</v>
      </c>
      <c r="M679" s="391" t="s">
        <v>648</v>
      </c>
      <c r="N679" s="417">
        <v>117.93</v>
      </c>
      <c r="O679" s="417">
        <v>117.93</v>
      </c>
      <c r="P679" s="417"/>
      <c r="Q679" s="595">
        <f t="shared" si="11"/>
        <v>0</v>
      </c>
    </row>
    <row r="680" spans="1:17" ht="16.5" hidden="1" outlineLevel="1">
      <c r="A680" s="125" t="s">
        <v>510</v>
      </c>
      <c r="B680" s="391" t="s">
        <v>514</v>
      </c>
      <c r="C680" s="391" t="s">
        <v>483</v>
      </c>
      <c r="D680" s="391"/>
      <c r="E680" s="391"/>
      <c r="F680" s="391"/>
      <c r="G680" s="391"/>
      <c r="H680" s="391"/>
      <c r="I680" s="391"/>
      <c r="J680" s="391"/>
      <c r="K680" s="391"/>
      <c r="L680" s="391"/>
      <c r="M680" s="391"/>
      <c r="N680" s="417">
        <v>0</v>
      </c>
      <c r="O680" s="417">
        <v>0</v>
      </c>
      <c r="P680" s="417"/>
      <c r="Q680" s="595" t="e">
        <f t="shared" si="11"/>
        <v>#DIV/0!</v>
      </c>
    </row>
    <row r="681" spans="1:17" ht="16.5" hidden="1" outlineLevel="1">
      <c r="A681" s="125" t="s">
        <v>521</v>
      </c>
      <c r="B681" s="391" t="s">
        <v>514</v>
      </c>
      <c r="C681" s="391" t="s">
        <v>483</v>
      </c>
      <c r="D681" s="391" t="s">
        <v>391</v>
      </c>
      <c r="E681" s="391"/>
      <c r="F681" s="391"/>
      <c r="G681" s="391"/>
      <c r="H681" s="391"/>
      <c r="I681" s="391"/>
      <c r="J681" s="391"/>
      <c r="K681" s="391"/>
      <c r="L681" s="391"/>
      <c r="M681" s="391"/>
      <c r="N681" s="417">
        <v>0</v>
      </c>
      <c r="O681" s="417">
        <v>0</v>
      </c>
      <c r="P681" s="417"/>
      <c r="Q681" s="595" t="e">
        <f t="shared" si="11"/>
        <v>#DIV/0!</v>
      </c>
    </row>
    <row r="682" spans="1:17" ht="63" hidden="1" outlineLevel="1">
      <c r="A682" s="125" t="s">
        <v>842</v>
      </c>
      <c r="B682" s="391" t="s">
        <v>514</v>
      </c>
      <c r="C682" s="391" t="s">
        <v>483</v>
      </c>
      <c r="D682" s="391" t="s">
        <v>391</v>
      </c>
      <c r="E682" s="391" t="s">
        <v>843</v>
      </c>
      <c r="F682" s="391"/>
      <c r="G682" s="391"/>
      <c r="H682" s="391"/>
      <c r="I682" s="391"/>
      <c r="J682" s="391"/>
      <c r="K682" s="391"/>
      <c r="L682" s="391" t="s">
        <v>844</v>
      </c>
      <c r="M682" s="391"/>
      <c r="N682" s="417"/>
      <c r="O682" s="417"/>
      <c r="P682" s="417"/>
      <c r="Q682" s="595" t="e">
        <f t="shared" si="11"/>
        <v>#DIV/0!</v>
      </c>
    </row>
    <row r="683" spans="1:17" ht="63" hidden="1" outlineLevel="1">
      <c r="A683" s="125" t="s">
        <v>842</v>
      </c>
      <c r="B683" s="391" t="s">
        <v>514</v>
      </c>
      <c r="C683" s="391" t="s">
        <v>483</v>
      </c>
      <c r="D683" s="391" t="s">
        <v>391</v>
      </c>
      <c r="E683" s="391" t="s">
        <v>845</v>
      </c>
      <c r="F683" s="391"/>
      <c r="G683" s="391"/>
      <c r="H683" s="391"/>
      <c r="I683" s="391"/>
      <c r="J683" s="391"/>
      <c r="K683" s="391"/>
      <c r="L683" s="391" t="s">
        <v>844</v>
      </c>
      <c r="M683" s="391"/>
      <c r="N683" s="417"/>
      <c r="O683" s="417"/>
      <c r="P683" s="417"/>
      <c r="Q683" s="595" t="e">
        <f t="shared" si="11"/>
        <v>#DIV/0!</v>
      </c>
    </row>
    <row r="684" spans="1:17" s="79" customFormat="1" ht="31.5" outlineLevel="1">
      <c r="A684" s="252" t="s">
        <v>893</v>
      </c>
      <c r="B684" s="362" t="s">
        <v>514</v>
      </c>
      <c r="C684" s="358" t="s">
        <v>388</v>
      </c>
      <c r="D684" s="358" t="s">
        <v>382</v>
      </c>
      <c r="E684" s="358" t="s">
        <v>770</v>
      </c>
      <c r="F684" s="358" t="s">
        <v>478</v>
      </c>
      <c r="G684" s="358" t="s">
        <v>789</v>
      </c>
      <c r="H684" s="358" t="s">
        <v>481</v>
      </c>
      <c r="I684" s="358" t="s">
        <v>770</v>
      </c>
      <c r="J684" s="358" t="s">
        <v>528</v>
      </c>
      <c r="K684" s="358" t="s">
        <v>480</v>
      </c>
      <c r="L684" s="362" t="s">
        <v>369</v>
      </c>
      <c r="M684" s="362"/>
      <c r="N684" s="363">
        <v>5017.42</v>
      </c>
      <c r="O684" s="363">
        <v>5054.28</v>
      </c>
      <c r="P684" s="363">
        <v>4881.52</v>
      </c>
      <c r="Q684" s="595">
        <f t="shared" si="11"/>
        <v>0.965819068195668</v>
      </c>
    </row>
    <row r="685" spans="1:17" ht="16.5" hidden="1" outlineLevel="1">
      <c r="A685" s="125" t="s">
        <v>774</v>
      </c>
      <c r="B685" s="391" t="s">
        <v>514</v>
      </c>
      <c r="C685" s="72" t="s">
        <v>388</v>
      </c>
      <c r="D685" s="72" t="s">
        <v>382</v>
      </c>
      <c r="E685" s="72"/>
      <c r="F685" s="72"/>
      <c r="G685" s="72"/>
      <c r="H685" s="72"/>
      <c r="I685" s="72"/>
      <c r="J685" s="72"/>
      <c r="K685" s="72"/>
      <c r="L685" s="391" t="s">
        <v>735</v>
      </c>
      <c r="M685" s="391" t="s">
        <v>636</v>
      </c>
      <c r="N685" s="417">
        <v>3600.56</v>
      </c>
      <c r="O685" s="417">
        <v>3600.56</v>
      </c>
      <c r="P685" s="417"/>
      <c r="Q685" s="595">
        <f t="shared" si="11"/>
        <v>0</v>
      </c>
    </row>
    <row r="686" spans="1:17" ht="16.5" hidden="1" outlineLevel="1">
      <c r="A686" s="125" t="s">
        <v>775</v>
      </c>
      <c r="B686" s="391" t="s">
        <v>514</v>
      </c>
      <c r="C686" s="72" t="s">
        <v>388</v>
      </c>
      <c r="D686" s="72" t="s">
        <v>382</v>
      </c>
      <c r="E686" s="72"/>
      <c r="F686" s="72"/>
      <c r="G686" s="72"/>
      <c r="H686" s="72"/>
      <c r="I686" s="72"/>
      <c r="J686" s="72"/>
      <c r="K686" s="72"/>
      <c r="L686" s="391" t="s">
        <v>735</v>
      </c>
      <c r="M686" s="391" t="s">
        <v>637</v>
      </c>
      <c r="N686" s="417">
        <v>1087.37</v>
      </c>
      <c r="O686" s="417">
        <v>1087.37</v>
      </c>
      <c r="P686" s="417"/>
      <c r="Q686" s="595">
        <f t="shared" si="11"/>
        <v>0</v>
      </c>
    </row>
    <row r="687" spans="1:17" ht="16.5" hidden="1" outlineLevel="1">
      <c r="A687" s="125" t="s">
        <v>784</v>
      </c>
      <c r="B687" s="391" t="s">
        <v>514</v>
      </c>
      <c r="C687" s="72" t="s">
        <v>388</v>
      </c>
      <c r="D687" s="72" t="s">
        <v>382</v>
      </c>
      <c r="E687" s="72"/>
      <c r="F687" s="72"/>
      <c r="G687" s="72"/>
      <c r="H687" s="72"/>
      <c r="I687" s="72"/>
      <c r="J687" s="72"/>
      <c r="K687" s="72"/>
      <c r="L687" s="391" t="s">
        <v>639</v>
      </c>
      <c r="M687" s="391" t="s">
        <v>645</v>
      </c>
      <c r="N687" s="417">
        <v>3</v>
      </c>
      <c r="O687" s="417">
        <v>3</v>
      </c>
      <c r="P687" s="417"/>
      <c r="Q687" s="595">
        <f t="shared" si="11"/>
        <v>0</v>
      </c>
    </row>
    <row r="688" spans="1:17" ht="16.5" hidden="1" outlineLevel="1">
      <c r="A688" s="125" t="s">
        <v>786</v>
      </c>
      <c r="B688" s="391" t="s">
        <v>514</v>
      </c>
      <c r="C688" s="72" t="s">
        <v>388</v>
      </c>
      <c r="D688" s="72" t="s">
        <v>382</v>
      </c>
      <c r="E688" s="72"/>
      <c r="F688" s="72"/>
      <c r="G688" s="72"/>
      <c r="H688" s="72"/>
      <c r="I688" s="72"/>
      <c r="J688" s="72"/>
      <c r="K688" s="72"/>
      <c r="L688" s="391" t="s">
        <v>639</v>
      </c>
      <c r="M688" s="391" t="s">
        <v>647</v>
      </c>
      <c r="N688" s="417">
        <v>16.61</v>
      </c>
      <c r="O688" s="417">
        <v>16.61</v>
      </c>
      <c r="P688" s="417"/>
      <c r="Q688" s="595">
        <f t="shared" si="11"/>
        <v>0</v>
      </c>
    </row>
    <row r="689" spans="1:17" ht="31.5" hidden="1" outlineLevel="1">
      <c r="A689" s="125" t="s">
        <v>787</v>
      </c>
      <c r="B689" s="391" t="s">
        <v>514</v>
      </c>
      <c r="C689" s="72" t="s">
        <v>388</v>
      </c>
      <c r="D689" s="72" t="s">
        <v>382</v>
      </c>
      <c r="E689" s="72"/>
      <c r="F689" s="72"/>
      <c r="G689" s="72"/>
      <c r="H689" s="72"/>
      <c r="I689" s="72"/>
      <c r="J689" s="72"/>
      <c r="K689" s="72"/>
      <c r="L689" s="391" t="s">
        <v>639</v>
      </c>
      <c r="M689" s="391" t="s">
        <v>648</v>
      </c>
      <c r="N689" s="417">
        <v>7</v>
      </c>
      <c r="O689" s="417">
        <v>7</v>
      </c>
      <c r="P689" s="417"/>
      <c r="Q689" s="595">
        <f t="shared" si="11"/>
        <v>0</v>
      </c>
    </row>
    <row r="690" spans="1:17" s="79" customFormat="1" ht="16.5" outlineLevel="1">
      <c r="A690" s="252" t="s">
        <v>854</v>
      </c>
      <c r="B690" s="362" t="s">
        <v>514</v>
      </c>
      <c r="C690" s="358" t="s">
        <v>388</v>
      </c>
      <c r="D690" s="358" t="s">
        <v>382</v>
      </c>
      <c r="E690" s="358" t="s">
        <v>770</v>
      </c>
      <c r="F690" s="358" t="s">
        <v>478</v>
      </c>
      <c r="G690" s="358" t="s">
        <v>789</v>
      </c>
      <c r="H690" s="358" t="s">
        <v>481</v>
      </c>
      <c r="I690" s="358" t="s">
        <v>770</v>
      </c>
      <c r="J690" s="358" t="s">
        <v>478</v>
      </c>
      <c r="K690" s="358" t="s">
        <v>478</v>
      </c>
      <c r="L690" s="362" t="s">
        <v>369</v>
      </c>
      <c r="M690" s="362"/>
      <c r="N690" s="363">
        <v>138.21</v>
      </c>
      <c r="O690" s="363">
        <v>125.37</v>
      </c>
      <c r="P690" s="363">
        <v>125.37</v>
      </c>
      <c r="Q690" s="595">
        <f t="shared" si="11"/>
        <v>1</v>
      </c>
    </row>
    <row r="691" spans="1:17" ht="16.5" hidden="1" outlineLevel="1">
      <c r="A691" s="125" t="s">
        <v>774</v>
      </c>
      <c r="B691" s="391" t="s">
        <v>514</v>
      </c>
      <c r="C691" s="72" t="s">
        <v>388</v>
      </c>
      <c r="D691" s="72" t="s">
        <v>382</v>
      </c>
      <c r="E691" s="72"/>
      <c r="F691" s="72"/>
      <c r="G691" s="72"/>
      <c r="H691" s="72"/>
      <c r="I691" s="72"/>
      <c r="J691" s="72"/>
      <c r="K691" s="72"/>
      <c r="L691" s="391" t="s">
        <v>735</v>
      </c>
      <c r="M691" s="391" t="s">
        <v>636</v>
      </c>
      <c r="N691" s="417">
        <v>484.71</v>
      </c>
      <c r="O691" s="417">
        <v>484.71</v>
      </c>
      <c r="P691" s="417"/>
      <c r="Q691" s="595">
        <f t="shared" si="11"/>
        <v>0</v>
      </c>
    </row>
    <row r="692" spans="1:17" ht="16.5" hidden="1" outlineLevel="1">
      <c r="A692" s="125" t="s">
        <v>775</v>
      </c>
      <c r="B692" s="391" t="s">
        <v>514</v>
      </c>
      <c r="C692" s="72" t="s">
        <v>388</v>
      </c>
      <c r="D692" s="72" t="s">
        <v>382</v>
      </c>
      <c r="E692" s="72"/>
      <c r="F692" s="72"/>
      <c r="G692" s="72"/>
      <c r="H692" s="72"/>
      <c r="I692" s="72"/>
      <c r="J692" s="72"/>
      <c r="K692" s="72"/>
      <c r="L692" s="391" t="s">
        <v>735</v>
      </c>
      <c r="M692" s="391" t="s">
        <v>637</v>
      </c>
      <c r="N692" s="417">
        <v>146.38</v>
      </c>
      <c r="O692" s="417">
        <v>146.38</v>
      </c>
      <c r="P692" s="417"/>
      <c r="Q692" s="595">
        <f t="shared" si="11"/>
        <v>0</v>
      </c>
    </row>
    <row r="693" spans="1:17" s="79" customFormat="1" ht="31.5" outlineLevel="1">
      <c r="A693" s="252" t="s">
        <v>894</v>
      </c>
      <c r="B693" s="362" t="s">
        <v>514</v>
      </c>
      <c r="C693" s="358" t="s">
        <v>483</v>
      </c>
      <c r="D693" s="358" t="s">
        <v>387</v>
      </c>
      <c r="E693" s="358" t="s">
        <v>770</v>
      </c>
      <c r="F693" s="358" t="s">
        <v>478</v>
      </c>
      <c r="G693" s="358" t="s">
        <v>789</v>
      </c>
      <c r="H693" s="358" t="s">
        <v>481</v>
      </c>
      <c r="I693" s="358" t="s">
        <v>770</v>
      </c>
      <c r="J693" s="358" t="s">
        <v>478</v>
      </c>
      <c r="K693" s="358" t="s">
        <v>480</v>
      </c>
      <c r="L693" s="362" t="s">
        <v>369</v>
      </c>
      <c r="M693" s="362"/>
      <c r="N693" s="363">
        <v>0</v>
      </c>
      <c r="O693" s="363">
        <v>0</v>
      </c>
      <c r="P693" s="363"/>
      <c r="Q693" s="595" t="e">
        <f t="shared" si="11"/>
        <v>#DIV/0!</v>
      </c>
    </row>
    <row r="694" spans="1:17" ht="16.5" hidden="1" outlineLevel="1">
      <c r="A694" s="125" t="s">
        <v>784</v>
      </c>
      <c r="B694" s="391" t="s">
        <v>514</v>
      </c>
      <c r="C694" s="72" t="s">
        <v>388</v>
      </c>
      <c r="D694" s="72" t="s">
        <v>382</v>
      </c>
      <c r="E694" s="72"/>
      <c r="F694" s="72"/>
      <c r="G694" s="72"/>
      <c r="H694" s="72"/>
      <c r="I694" s="72"/>
      <c r="J694" s="72"/>
      <c r="K694" s="72"/>
      <c r="L694" s="391" t="s">
        <v>639</v>
      </c>
      <c r="M694" s="391" t="s">
        <v>645</v>
      </c>
      <c r="N694" s="417"/>
      <c r="O694" s="417"/>
      <c r="P694" s="417"/>
      <c r="Q694" s="595" t="e">
        <f t="shared" si="11"/>
        <v>#DIV/0!</v>
      </c>
    </row>
    <row r="695" spans="1:17" ht="16.5" hidden="1" outlineLevel="1">
      <c r="A695" s="125" t="s">
        <v>855</v>
      </c>
      <c r="B695" s="391" t="s">
        <v>514</v>
      </c>
      <c r="C695" s="72" t="s">
        <v>388</v>
      </c>
      <c r="D695" s="72" t="s">
        <v>382</v>
      </c>
      <c r="E695" s="72"/>
      <c r="F695" s="72"/>
      <c r="G695" s="72"/>
      <c r="H695" s="72"/>
      <c r="I695" s="72"/>
      <c r="J695" s="72"/>
      <c r="K695" s="72"/>
      <c r="L695" s="391" t="s">
        <v>733</v>
      </c>
      <c r="M695" s="391" t="s">
        <v>680</v>
      </c>
      <c r="N695" s="417"/>
      <c r="O695" s="417"/>
      <c r="P695" s="417"/>
      <c r="Q695" s="595" t="e">
        <f t="shared" si="11"/>
        <v>#DIV/0!</v>
      </c>
    </row>
    <row r="696" spans="1:17" s="79" customFormat="1" ht="31.5" outlineLevel="1">
      <c r="A696" s="252" t="s">
        <v>856</v>
      </c>
      <c r="B696" s="362" t="s">
        <v>514</v>
      </c>
      <c r="C696" s="358" t="s">
        <v>388</v>
      </c>
      <c r="D696" s="358" t="s">
        <v>382</v>
      </c>
      <c r="E696" s="358" t="s">
        <v>770</v>
      </c>
      <c r="F696" s="358" t="s">
        <v>478</v>
      </c>
      <c r="G696" s="358" t="s">
        <v>789</v>
      </c>
      <c r="H696" s="358" t="s">
        <v>481</v>
      </c>
      <c r="I696" s="358" t="s">
        <v>770</v>
      </c>
      <c r="J696" s="358" t="s">
        <v>478</v>
      </c>
      <c r="K696" s="358" t="s">
        <v>481</v>
      </c>
      <c r="L696" s="362" t="s">
        <v>369</v>
      </c>
      <c r="M696" s="362"/>
      <c r="N696" s="363">
        <v>30</v>
      </c>
      <c r="O696" s="363">
        <v>21.74</v>
      </c>
      <c r="P696" s="363">
        <v>21.74</v>
      </c>
      <c r="Q696" s="595">
        <f t="shared" si="11"/>
        <v>1</v>
      </c>
    </row>
    <row r="697" spans="1:17" ht="31.5" hidden="1" outlineLevel="1">
      <c r="A697" s="125" t="s">
        <v>787</v>
      </c>
      <c r="B697" s="391" t="s">
        <v>514</v>
      </c>
      <c r="C697" s="358" t="s">
        <v>388</v>
      </c>
      <c r="D697" s="358" t="s">
        <v>382</v>
      </c>
      <c r="E697" s="358"/>
      <c r="F697" s="358"/>
      <c r="G697" s="358"/>
      <c r="H697" s="358"/>
      <c r="I697" s="358"/>
      <c r="J697" s="358"/>
      <c r="K697" s="358"/>
      <c r="L697" s="391" t="s">
        <v>639</v>
      </c>
      <c r="M697" s="391" t="s">
        <v>648</v>
      </c>
      <c r="N697" s="417">
        <v>30</v>
      </c>
      <c r="O697" s="417">
        <v>30</v>
      </c>
      <c r="P697" s="417"/>
      <c r="Q697" s="595">
        <f t="shared" si="11"/>
        <v>0</v>
      </c>
    </row>
    <row r="698" spans="1:17" s="79" customFormat="1" ht="31.5" outlineLevel="1">
      <c r="A698" s="252" t="s">
        <v>857</v>
      </c>
      <c r="B698" s="362" t="s">
        <v>514</v>
      </c>
      <c r="C698" s="358" t="s">
        <v>388</v>
      </c>
      <c r="D698" s="358" t="s">
        <v>382</v>
      </c>
      <c r="E698" s="72" t="s">
        <v>770</v>
      </c>
      <c r="F698" s="72" t="s">
        <v>528</v>
      </c>
      <c r="G698" s="72" t="s">
        <v>478</v>
      </c>
      <c r="H698" s="72" t="s">
        <v>770</v>
      </c>
      <c r="I698" s="72" t="s">
        <v>528</v>
      </c>
      <c r="J698" s="72" t="s">
        <v>770</v>
      </c>
      <c r="K698" s="72" t="s">
        <v>479</v>
      </c>
      <c r="L698" s="362" t="s">
        <v>369</v>
      </c>
      <c r="M698" s="362"/>
      <c r="N698" s="363">
        <f>28.61+2.8+89.22</f>
        <v>120.63</v>
      </c>
      <c r="O698" s="363">
        <v>27.35</v>
      </c>
      <c r="P698" s="363">
        <v>27.35</v>
      </c>
      <c r="Q698" s="595">
        <f t="shared" si="11"/>
        <v>1</v>
      </c>
    </row>
    <row r="699" spans="1:17" ht="31.5" hidden="1" outlineLevel="1">
      <c r="A699" s="125" t="s">
        <v>787</v>
      </c>
      <c r="B699" s="391" t="s">
        <v>514</v>
      </c>
      <c r="C699" s="391" t="s">
        <v>388</v>
      </c>
      <c r="D699" s="391" t="s">
        <v>382</v>
      </c>
      <c r="E699" s="391"/>
      <c r="F699" s="391"/>
      <c r="G699" s="391"/>
      <c r="H699" s="391"/>
      <c r="I699" s="391"/>
      <c r="J699" s="391"/>
      <c r="K699" s="391"/>
      <c r="L699" s="391" t="s">
        <v>639</v>
      </c>
      <c r="M699" s="391" t="s">
        <v>648</v>
      </c>
      <c r="N699" s="417">
        <v>28.61</v>
      </c>
      <c r="O699" s="417">
        <v>28.61</v>
      </c>
      <c r="P699" s="417"/>
      <c r="Q699" s="595">
        <f t="shared" si="11"/>
        <v>0</v>
      </c>
    </row>
    <row r="700" spans="1:17" ht="31.5" hidden="1" outlineLevel="1">
      <c r="A700" s="125" t="s">
        <v>895</v>
      </c>
      <c r="B700" s="391"/>
      <c r="C700" s="391"/>
      <c r="D700" s="391"/>
      <c r="E700" s="391"/>
      <c r="F700" s="391"/>
      <c r="G700" s="391"/>
      <c r="H700" s="391"/>
      <c r="I700" s="391"/>
      <c r="J700" s="391"/>
      <c r="K700" s="391"/>
      <c r="L700" s="391" t="s">
        <v>369</v>
      </c>
      <c r="M700" s="391"/>
      <c r="N700" s="417">
        <v>0</v>
      </c>
      <c r="O700" s="417">
        <v>0</v>
      </c>
      <c r="P700" s="417"/>
      <c r="Q700" s="595" t="e">
        <f t="shared" si="11"/>
        <v>#DIV/0!</v>
      </c>
    </row>
    <row r="701" spans="1:17" ht="16.5" hidden="1" outlineLevel="1">
      <c r="A701" s="125" t="s">
        <v>774</v>
      </c>
      <c r="B701" s="391" t="s">
        <v>514</v>
      </c>
      <c r="C701" s="391" t="s">
        <v>388</v>
      </c>
      <c r="D701" s="391" t="s">
        <v>382</v>
      </c>
      <c r="E701" s="391"/>
      <c r="F701" s="391"/>
      <c r="G701" s="391"/>
      <c r="H701" s="391"/>
      <c r="I701" s="391"/>
      <c r="J701" s="391"/>
      <c r="K701" s="391"/>
      <c r="L701" s="391" t="s">
        <v>639</v>
      </c>
      <c r="M701" s="391" t="s">
        <v>636</v>
      </c>
      <c r="N701" s="417"/>
      <c r="O701" s="417"/>
      <c r="P701" s="417"/>
      <c r="Q701" s="595" t="e">
        <f t="shared" si="11"/>
        <v>#DIV/0!</v>
      </c>
    </row>
    <row r="702" spans="1:17" ht="16.5" hidden="1" outlineLevel="1">
      <c r="A702" s="125" t="s">
        <v>775</v>
      </c>
      <c r="B702" s="391" t="s">
        <v>514</v>
      </c>
      <c r="C702" s="391" t="s">
        <v>388</v>
      </c>
      <c r="D702" s="391" t="s">
        <v>382</v>
      </c>
      <c r="E702" s="391"/>
      <c r="F702" s="391"/>
      <c r="G702" s="391"/>
      <c r="H702" s="391"/>
      <c r="I702" s="391"/>
      <c r="J702" s="391"/>
      <c r="K702" s="391"/>
      <c r="L702" s="391" t="s">
        <v>639</v>
      </c>
      <c r="M702" s="391" t="s">
        <v>637</v>
      </c>
      <c r="N702" s="417"/>
      <c r="O702" s="417"/>
      <c r="P702" s="417"/>
      <c r="Q702" s="595" t="e">
        <f t="shared" si="11"/>
        <v>#DIV/0!</v>
      </c>
    </row>
    <row r="703" spans="1:17" ht="31.5" hidden="1" outlineLevel="1">
      <c r="A703" s="125" t="s">
        <v>787</v>
      </c>
      <c r="B703" s="391" t="s">
        <v>514</v>
      </c>
      <c r="C703" s="391" t="s">
        <v>388</v>
      </c>
      <c r="D703" s="391" t="s">
        <v>382</v>
      </c>
      <c r="E703" s="391"/>
      <c r="F703" s="391"/>
      <c r="G703" s="391"/>
      <c r="H703" s="391"/>
      <c r="I703" s="391"/>
      <c r="J703" s="391"/>
      <c r="K703" s="391"/>
      <c r="L703" s="391" t="s">
        <v>639</v>
      </c>
      <c r="M703" s="391" t="s">
        <v>648</v>
      </c>
      <c r="N703" s="417"/>
      <c r="O703" s="417"/>
      <c r="P703" s="417"/>
      <c r="Q703" s="595" t="e">
        <f t="shared" si="11"/>
        <v>#DIV/0!</v>
      </c>
    </row>
    <row r="704" spans="1:17" ht="141.75" outlineLevel="1">
      <c r="A704" s="125" t="s">
        <v>952</v>
      </c>
      <c r="B704" s="391" t="s">
        <v>514</v>
      </c>
      <c r="C704" s="391" t="s">
        <v>388</v>
      </c>
      <c r="D704" s="391" t="s">
        <v>382</v>
      </c>
      <c r="E704" s="391" t="s">
        <v>552</v>
      </c>
      <c r="F704" s="391" t="s">
        <v>552</v>
      </c>
      <c r="G704" s="391" t="s">
        <v>528</v>
      </c>
      <c r="H704" s="391" t="s">
        <v>552</v>
      </c>
      <c r="I704" s="391" t="s">
        <v>770</v>
      </c>
      <c r="J704" s="391" t="s">
        <v>770</v>
      </c>
      <c r="K704" s="391" t="s">
        <v>528</v>
      </c>
      <c r="L704" s="391" t="s">
        <v>778</v>
      </c>
      <c r="M704" s="391"/>
      <c r="N704" s="417">
        <v>0</v>
      </c>
      <c r="O704" s="417">
        <v>40</v>
      </c>
      <c r="P704" s="417">
        <v>40</v>
      </c>
      <c r="Q704" s="595">
        <f t="shared" si="11"/>
        <v>1</v>
      </c>
    </row>
    <row r="705" spans="1:17" ht="45" outlineLevel="1">
      <c r="A705" s="51" t="s">
        <v>866</v>
      </c>
      <c r="B705" s="75" t="s">
        <v>514</v>
      </c>
      <c r="C705" s="75" t="s">
        <v>388</v>
      </c>
      <c r="D705" s="75" t="s">
        <v>385</v>
      </c>
      <c r="E705" s="391" t="s">
        <v>770</v>
      </c>
      <c r="F705" s="391" t="s">
        <v>528</v>
      </c>
      <c r="G705" s="391" t="s">
        <v>546</v>
      </c>
      <c r="H705" s="391" t="s">
        <v>770</v>
      </c>
      <c r="I705" s="391" t="s">
        <v>528</v>
      </c>
      <c r="J705" s="391" t="s">
        <v>770</v>
      </c>
      <c r="K705" s="391" t="s">
        <v>546</v>
      </c>
      <c r="L705" s="75" t="s">
        <v>778</v>
      </c>
      <c r="M705" s="73"/>
      <c r="N705" s="371"/>
      <c r="O705" s="569">
        <v>8</v>
      </c>
      <c r="P705" s="569">
        <v>8</v>
      </c>
      <c r="Q705" s="595">
        <f t="shared" si="11"/>
        <v>1</v>
      </c>
    </row>
    <row r="706" spans="1:17" s="397" customFormat="1" ht="27" customHeight="1" outlineLevel="1">
      <c r="A706" s="418" t="s">
        <v>900</v>
      </c>
      <c r="B706" s="419" t="s">
        <v>514</v>
      </c>
      <c r="C706" s="419"/>
      <c r="D706" s="419"/>
      <c r="E706" s="419"/>
      <c r="F706" s="419"/>
      <c r="G706" s="419"/>
      <c r="H706" s="419"/>
      <c r="I706" s="419"/>
      <c r="J706" s="419"/>
      <c r="K706" s="419"/>
      <c r="L706" s="419"/>
      <c r="M706" s="419"/>
      <c r="N706" s="420">
        <f>N710+N714+N728+N734+N737+N740+N742+N744</f>
        <v>5797.949999999999</v>
      </c>
      <c r="O706" s="420">
        <f>O707</f>
        <v>6345.78</v>
      </c>
      <c r="P706" s="420">
        <f>P707</f>
        <v>6345.78</v>
      </c>
      <c r="Q706" s="595">
        <f t="shared" si="11"/>
        <v>1</v>
      </c>
    </row>
    <row r="707" spans="1:17" ht="16.5" outlineLevel="1">
      <c r="A707" s="125" t="s">
        <v>509</v>
      </c>
      <c r="B707" s="391" t="s">
        <v>514</v>
      </c>
      <c r="C707" s="391" t="s">
        <v>388</v>
      </c>
      <c r="D707" s="391"/>
      <c r="E707" s="391"/>
      <c r="F707" s="391"/>
      <c r="G707" s="391"/>
      <c r="H707" s="391"/>
      <c r="I707" s="391"/>
      <c r="J707" s="391"/>
      <c r="K707" s="391"/>
      <c r="L707" s="391"/>
      <c r="M707" s="391"/>
      <c r="N707" s="417">
        <v>5643.96</v>
      </c>
      <c r="O707" s="417">
        <f>O708</f>
        <v>6345.78</v>
      </c>
      <c r="P707" s="417">
        <f>P708</f>
        <v>6345.78</v>
      </c>
      <c r="Q707" s="595">
        <f t="shared" si="11"/>
        <v>1</v>
      </c>
    </row>
    <row r="708" spans="1:17" ht="16.5" outlineLevel="1">
      <c r="A708" s="125" t="s">
        <v>512</v>
      </c>
      <c r="B708" s="391" t="s">
        <v>514</v>
      </c>
      <c r="C708" s="391" t="s">
        <v>388</v>
      </c>
      <c r="D708" s="391" t="s">
        <v>382</v>
      </c>
      <c r="E708" s="391"/>
      <c r="F708" s="391"/>
      <c r="G708" s="391"/>
      <c r="H708" s="391"/>
      <c r="I708" s="391"/>
      <c r="J708" s="391"/>
      <c r="K708" s="391"/>
      <c r="L708" s="391"/>
      <c r="M708" s="391"/>
      <c r="N708" s="417">
        <v>5643.96</v>
      </c>
      <c r="O708" s="417">
        <f>O709+O728+O734+O737+O740+O742+O744+O748+O749+O750</f>
        <v>6345.78</v>
      </c>
      <c r="P708" s="417">
        <f>P709+P728+P734+P737+P740+P742+P744+P748+P749+P750</f>
        <v>6345.78</v>
      </c>
      <c r="Q708" s="595">
        <f t="shared" si="11"/>
        <v>1</v>
      </c>
    </row>
    <row r="709" spans="1:17" ht="47.25" outlineLevel="1">
      <c r="A709" s="125" t="s">
        <v>892</v>
      </c>
      <c r="B709" s="391" t="s">
        <v>514</v>
      </c>
      <c r="C709" s="391" t="s">
        <v>388</v>
      </c>
      <c r="D709" s="391" t="s">
        <v>382</v>
      </c>
      <c r="E709" s="391" t="s">
        <v>770</v>
      </c>
      <c r="F709" s="391" t="s">
        <v>528</v>
      </c>
      <c r="G709" s="391"/>
      <c r="H709" s="391"/>
      <c r="I709" s="391"/>
      <c r="J709" s="391"/>
      <c r="K709" s="391"/>
      <c r="L709" s="391" t="s">
        <v>369</v>
      </c>
      <c r="M709" s="391"/>
      <c r="N709" s="417">
        <v>611.72</v>
      </c>
      <c r="O709" s="417">
        <f>O710+O714</f>
        <v>1013.74</v>
      </c>
      <c r="P709" s="417">
        <f>P710+P714</f>
        <v>1013.74</v>
      </c>
      <c r="Q709" s="595">
        <f t="shared" si="11"/>
        <v>1</v>
      </c>
    </row>
    <row r="710" spans="1:17" ht="31.5" outlineLevel="1">
      <c r="A710" s="125" t="s">
        <v>850</v>
      </c>
      <c r="B710" s="391" t="s">
        <v>514</v>
      </c>
      <c r="C710" s="391" t="s">
        <v>388</v>
      </c>
      <c r="D710" s="391" t="s">
        <v>382</v>
      </c>
      <c r="E710" s="391" t="s">
        <v>770</v>
      </c>
      <c r="F710" s="391" t="s">
        <v>528</v>
      </c>
      <c r="G710" s="391" t="s">
        <v>478</v>
      </c>
      <c r="H710" s="391" t="s">
        <v>770</v>
      </c>
      <c r="I710" s="391" t="s">
        <v>528</v>
      </c>
      <c r="J710" s="391" t="s">
        <v>770</v>
      </c>
      <c r="K710" s="391" t="s">
        <v>528</v>
      </c>
      <c r="L710" s="391" t="s">
        <v>773</v>
      </c>
      <c r="M710" s="391"/>
      <c r="N710" s="417">
        <v>312.39</v>
      </c>
      <c r="O710" s="417">
        <v>366.59</v>
      </c>
      <c r="P710" s="417">
        <v>366.59</v>
      </c>
      <c r="Q710" s="595">
        <f t="shared" si="11"/>
        <v>1</v>
      </c>
    </row>
    <row r="711" spans="1:17" ht="16.5" hidden="1" outlineLevel="1">
      <c r="A711" s="125" t="s">
        <v>774</v>
      </c>
      <c r="B711" s="391" t="s">
        <v>514</v>
      </c>
      <c r="C711" s="391" t="s">
        <v>388</v>
      </c>
      <c r="D711" s="391" t="s">
        <v>382</v>
      </c>
      <c r="E711" s="391"/>
      <c r="F711" s="391"/>
      <c r="G711" s="391"/>
      <c r="H711" s="391"/>
      <c r="I711" s="391"/>
      <c r="J711" s="391"/>
      <c r="K711" s="391"/>
      <c r="L711" s="391" t="s">
        <v>735</v>
      </c>
      <c r="M711" s="391" t="s">
        <v>636</v>
      </c>
      <c r="N711" s="417">
        <v>103.46</v>
      </c>
      <c r="O711" s="417">
        <v>103.46</v>
      </c>
      <c r="P711" s="417"/>
      <c r="Q711" s="595">
        <f t="shared" si="11"/>
        <v>0</v>
      </c>
    </row>
    <row r="712" spans="1:17" ht="16.5" hidden="1" outlineLevel="1">
      <c r="A712" s="125" t="s">
        <v>776</v>
      </c>
      <c r="B712" s="391" t="s">
        <v>514</v>
      </c>
      <c r="C712" s="391" t="s">
        <v>388</v>
      </c>
      <c r="D712" s="391" t="s">
        <v>382</v>
      </c>
      <c r="E712" s="391"/>
      <c r="F712" s="391"/>
      <c r="G712" s="391"/>
      <c r="H712" s="391"/>
      <c r="I712" s="391"/>
      <c r="J712" s="391"/>
      <c r="K712" s="391"/>
      <c r="L712" s="391" t="s">
        <v>676</v>
      </c>
      <c r="M712" s="391" t="s">
        <v>660</v>
      </c>
      <c r="N712" s="417"/>
      <c r="O712" s="417"/>
      <c r="P712" s="417"/>
      <c r="Q712" s="595" t="e">
        <f t="shared" si="11"/>
        <v>#DIV/0!</v>
      </c>
    </row>
    <row r="713" spans="1:17" ht="16.5" hidden="1" outlineLevel="1">
      <c r="A713" s="125" t="s">
        <v>775</v>
      </c>
      <c r="B713" s="391" t="s">
        <v>514</v>
      </c>
      <c r="C713" s="391" t="s">
        <v>388</v>
      </c>
      <c r="D713" s="391" t="s">
        <v>382</v>
      </c>
      <c r="E713" s="391"/>
      <c r="F713" s="391"/>
      <c r="G713" s="391"/>
      <c r="H713" s="391"/>
      <c r="I713" s="391"/>
      <c r="J713" s="391"/>
      <c r="K713" s="391"/>
      <c r="L713" s="391" t="s">
        <v>735</v>
      </c>
      <c r="M713" s="391" t="s">
        <v>637</v>
      </c>
      <c r="N713" s="417">
        <v>31.24</v>
      </c>
      <c r="O713" s="417">
        <v>31.24</v>
      </c>
      <c r="P713" s="417"/>
      <c r="Q713" s="595">
        <f t="shared" si="11"/>
        <v>0</v>
      </c>
    </row>
    <row r="714" spans="1:17" ht="31.5" outlineLevel="1">
      <c r="A714" s="125" t="s">
        <v>777</v>
      </c>
      <c r="B714" s="391" t="s">
        <v>514</v>
      </c>
      <c r="C714" s="391" t="s">
        <v>388</v>
      </c>
      <c r="D714" s="391" t="s">
        <v>382</v>
      </c>
      <c r="E714" s="391" t="s">
        <v>770</v>
      </c>
      <c r="F714" s="391" t="s">
        <v>528</v>
      </c>
      <c r="G714" s="391" t="s">
        <v>478</v>
      </c>
      <c r="H714" s="391" t="s">
        <v>770</v>
      </c>
      <c r="I714" s="391" t="s">
        <v>528</v>
      </c>
      <c r="J714" s="391" t="s">
        <v>770</v>
      </c>
      <c r="K714" s="391" t="s">
        <v>478</v>
      </c>
      <c r="L714" s="391" t="s">
        <v>778</v>
      </c>
      <c r="M714" s="391"/>
      <c r="N714" s="417">
        <v>477.02</v>
      </c>
      <c r="O714" s="417">
        <v>647.15</v>
      </c>
      <c r="P714" s="417">
        <v>647.15</v>
      </c>
      <c r="Q714" s="595">
        <f t="shared" si="11"/>
        <v>1</v>
      </c>
    </row>
    <row r="715" spans="1:17" ht="16.5" hidden="1" outlineLevel="1">
      <c r="A715" s="125" t="s">
        <v>779</v>
      </c>
      <c r="B715" s="391" t="s">
        <v>514</v>
      </c>
      <c r="C715" s="391" t="s">
        <v>388</v>
      </c>
      <c r="D715" s="391" t="s">
        <v>382</v>
      </c>
      <c r="E715" s="391"/>
      <c r="F715" s="391"/>
      <c r="G715" s="391"/>
      <c r="H715" s="391"/>
      <c r="I715" s="391"/>
      <c r="J715" s="391"/>
      <c r="K715" s="391"/>
      <c r="L715" s="391" t="s">
        <v>639</v>
      </c>
      <c r="M715" s="391" t="s">
        <v>640</v>
      </c>
      <c r="N715" s="417">
        <v>3.8</v>
      </c>
      <c r="O715" s="417">
        <v>3.8</v>
      </c>
      <c r="P715" s="417"/>
      <c r="Q715" s="595">
        <f t="shared" si="11"/>
        <v>0</v>
      </c>
    </row>
    <row r="716" spans="1:17" ht="16.5" hidden="1" outlineLevel="1">
      <c r="A716" s="125" t="s">
        <v>780</v>
      </c>
      <c r="B716" s="391" t="s">
        <v>514</v>
      </c>
      <c r="C716" s="391" t="s">
        <v>388</v>
      </c>
      <c r="D716" s="391" t="s">
        <v>382</v>
      </c>
      <c r="E716" s="391"/>
      <c r="F716" s="391"/>
      <c r="G716" s="391"/>
      <c r="H716" s="391"/>
      <c r="I716" s="391"/>
      <c r="J716" s="391"/>
      <c r="K716" s="391"/>
      <c r="L716" s="391" t="s">
        <v>639</v>
      </c>
      <c r="M716" s="391" t="s">
        <v>641</v>
      </c>
      <c r="N716" s="417"/>
      <c r="O716" s="417"/>
      <c r="P716" s="417"/>
      <c r="Q716" s="595" t="e">
        <f aca="true" t="shared" si="12" ref="Q716:Q779">P716/O716</f>
        <v>#DIV/0!</v>
      </c>
    </row>
    <row r="717" spans="1:17" ht="16.5" hidden="1" outlineLevel="1">
      <c r="A717" s="125" t="s">
        <v>781</v>
      </c>
      <c r="B717" s="391" t="s">
        <v>514</v>
      </c>
      <c r="C717" s="391" t="s">
        <v>388</v>
      </c>
      <c r="D717" s="391" t="s">
        <v>382</v>
      </c>
      <c r="E717" s="391"/>
      <c r="F717" s="391"/>
      <c r="G717" s="391"/>
      <c r="H717" s="391"/>
      <c r="I717" s="391"/>
      <c r="J717" s="391"/>
      <c r="K717" s="391"/>
      <c r="L717" s="391" t="s">
        <v>639</v>
      </c>
      <c r="M717" s="391" t="s">
        <v>642</v>
      </c>
      <c r="N717" s="417">
        <v>210.72</v>
      </c>
      <c r="O717" s="417">
        <v>210.72</v>
      </c>
      <c r="P717" s="417"/>
      <c r="Q717" s="595">
        <f t="shared" si="12"/>
        <v>0</v>
      </c>
    </row>
    <row r="718" spans="1:17" ht="16.5" hidden="1" outlineLevel="1">
      <c r="A718" s="125" t="s">
        <v>782</v>
      </c>
      <c r="B718" s="391" t="s">
        <v>514</v>
      </c>
      <c r="C718" s="391" t="s">
        <v>388</v>
      </c>
      <c r="D718" s="391" t="s">
        <v>382</v>
      </c>
      <c r="E718" s="391"/>
      <c r="F718" s="391"/>
      <c r="G718" s="391"/>
      <c r="H718" s="391"/>
      <c r="I718" s="391"/>
      <c r="J718" s="391"/>
      <c r="K718" s="391"/>
      <c r="L718" s="391" t="s">
        <v>639</v>
      </c>
      <c r="M718" s="391" t="s">
        <v>643</v>
      </c>
      <c r="N718" s="417"/>
      <c r="O718" s="417"/>
      <c r="P718" s="417"/>
      <c r="Q718" s="595" t="e">
        <f t="shared" si="12"/>
        <v>#DIV/0!</v>
      </c>
    </row>
    <row r="719" spans="1:17" ht="16.5" hidden="1" outlineLevel="1">
      <c r="A719" s="125" t="s">
        <v>783</v>
      </c>
      <c r="B719" s="391" t="s">
        <v>514</v>
      </c>
      <c r="C719" s="391" t="s">
        <v>388</v>
      </c>
      <c r="D719" s="391" t="s">
        <v>382</v>
      </c>
      <c r="E719" s="391"/>
      <c r="F719" s="391"/>
      <c r="G719" s="391"/>
      <c r="H719" s="391"/>
      <c r="I719" s="391"/>
      <c r="J719" s="391"/>
      <c r="K719" s="391"/>
      <c r="L719" s="391" t="s">
        <v>639</v>
      </c>
      <c r="M719" s="391" t="s">
        <v>644</v>
      </c>
      <c r="N719" s="417">
        <v>53.12</v>
      </c>
      <c r="O719" s="417">
        <v>53.12</v>
      </c>
      <c r="P719" s="417"/>
      <c r="Q719" s="595">
        <f t="shared" si="12"/>
        <v>0</v>
      </c>
    </row>
    <row r="720" spans="1:17" ht="16.5" hidden="1" outlineLevel="1">
      <c r="A720" s="125" t="s">
        <v>784</v>
      </c>
      <c r="B720" s="391" t="s">
        <v>514</v>
      </c>
      <c r="C720" s="391" t="s">
        <v>388</v>
      </c>
      <c r="D720" s="391" t="s">
        <v>382</v>
      </c>
      <c r="E720" s="391"/>
      <c r="F720" s="391"/>
      <c r="G720" s="391"/>
      <c r="H720" s="391"/>
      <c r="I720" s="391"/>
      <c r="J720" s="391"/>
      <c r="K720" s="391"/>
      <c r="L720" s="391" t="s">
        <v>639</v>
      </c>
      <c r="M720" s="391" t="s">
        <v>645</v>
      </c>
      <c r="N720" s="417">
        <v>68.49</v>
      </c>
      <c r="O720" s="417">
        <v>68.49</v>
      </c>
      <c r="P720" s="417"/>
      <c r="Q720" s="595">
        <f t="shared" si="12"/>
        <v>0</v>
      </c>
    </row>
    <row r="721" spans="1:17" ht="16.5" hidden="1" outlineLevel="1">
      <c r="A721" s="125" t="s">
        <v>785</v>
      </c>
      <c r="B721" s="391" t="s">
        <v>514</v>
      </c>
      <c r="C721" s="391" t="s">
        <v>388</v>
      </c>
      <c r="D721" s="391" t="s">
        <v>382</v>
      </c>
      <c r="E721" s="391"/>
      <c r="F721" s="391"/>
      <c r="G721" s="391"/>
      <c r="H721" s="391"/>
      <c r="I721" s="391"/>
      <c r="J721" s="391"/>
      <c r="K721" s="391"/>
      <c r="L721" s="391" t="s">
        <v>639</v>
      </c>
      <c r="M721" s="391" t="s">
        <v>646</v>
      </c>
      <c r="N721" s="417">
        <v>16.33</v>
      </c>
      <c r="O721" s="417">
        <v>16.33</v>
      </c>
      <c r="P721" s="417"/>
      <c r="Q721" s="595">
        <f t="shared" si="12"/>
        <v>0</v>
      </c>
    </row>
    <row r="722" spans="1:17" ht="16.5" hidden="1" outlineLevel="1">
      <c r="A722" s="125" t="s">
        <v>786</v>
      </c>
      <c r="B722" s="391" t="s">
        <v>514</v>
      </c>
      <c r="C722" s="391" t="s">
        <v>388</v>
      </c>
      <c r="D722" s="391" t="s">
        <v>382</v>
      </c>
      <c r="E722" s="391"/>
      <c r="F722" s="391"/>
      <c r="G722" s="391"/>
      <c r="H722" s="391"/>
      <c r="I722" s="391"/>
      <c r="J722" s="391"/>
      <c r="K722" s="391"/>
      <c r="L722" s="391" t="s">
        <v>639</v>
      </c>
      <c r="M722" s="391" t="s">
        <v>647</v>
      </c>
      <c r="N722" s="417"/>
      <c r="O722" s="417"/>
      <c r="P722" s="417"/>
      <c r="Q722" s="595" t="e">
        <f t="shared" si="12"/>
        <v>#DIV/0!</v>
      </c>
    </row>
    <row r="723" spans="1:17" ht="31.5" hidden="1" outlineLevel="1">
      <c r="A723" s="125" t="s">
        <v>787</v>
      </c>
      <c r="B723" s="391" t="s">
        <v>514</v>
      </c>
      <c r="C723" s="391" t="s">
        <v>388</v>
      </c>
      <c r="D723" s="391" t="s">
        <v>382</v>
      </c>
      <c r="E723" s="391"/>
      <c r="F723" s="391"/>
      <c r="G723" s="391"/>
      <c r="H723" s="391"/>
      <c r="I723" s="391"/>
      <c r="J723" s="391"/>
      <c r="K723" s="391"/>
      <c r="L723" s="391" t="s">
        <v>639</v>
      </c>
      <c r="M723" s="391" t="s">
        <v>648</v>
      </c>
      <c r="N723" s="417">
        <v>124.56</v>
      </c>
      <c r="O723" s="417">
        <v>124.56</v>
      </c>
      <c r="P723" s="417"/>
      <c r="Q723" s="595">
        <f t="shared" si="12"/>
        <v>0</v>
      </c>
    </row>
    <row r="724" spans="1:17" ht="16.5" hidden="1" outlineLevel="1">
      <c r="A724" s="125" t="s">
        <v>510</v>
      </c>
      <c r="B724" s="391" t="s">
        <v>514</v>
      </c>
      <c r="C724" s="391" t="s">
        <v>483</v>
      </c>
      <c r="D724" s="391"/>
      <c r="E724" s="391"/>
      <c r="F724" s="391"/>
      <c r="G724" s="391"/>
      <c r="H724" s="391"/>
      <c r="I724" s="391"/>
      <c r="J724" s="391"/>
      <c r="K724" s="391"/>
      <c r="L724" s="391"/>
      <c r="M724" s="391"/>
      <c r="N724" s="417">
        <v>0</v>
      </c>
      <c r="O724" s="417">
        <v>0</v>
      </c>
      <c r="P724" s="417"/>
      <c r="Q724" s="595" t="e">
        <f t="shared" si="12"/>
        <v>#DIV/0!</v>
      </c>
    </row>
    <row r="725" spans="1:17" ht="16.5" hidden="1" outlineLevel="1">
      <c r="A725" s="125" t="s">
        <v>521</v>
      </c>
      <c r="B725" s="391" t="s">
        <v>514</v>
      </c>
      <c r="C725" s="391" t="s">
        <v>483</v>
      </c>
      <c r="D725" s="391" t="s">
        <v>391</v>
      </c>
      <c r="E725" s="391"/>
      <c r="F725" s="391"/>
      <c r="G725" s="391"/>
      <c r="H725" s="391"/>
      <c r="I725" s="391"/>
      <c r="J725" s="391"/>
      <c r="K725" s="391"/>
      <c r="L725" s="391"/>
      <c r="M725" s="391"/>
      <c r="N725" s="417">
        <v>0</v>
      </c>
      <c r="O725" s="417">
        <v>0</v>
      </c>
      <c r="P725" s="417"/>
      <c r="Q725" s="595" t="e">
        <f t="shared" si="12"/>
        <v>#DIV/0!</v>
      </c>
    </row>
    <row r="726" spans="1:17" ht="63" hidden="1" outlineLevel="1">
      <c r="A726" s="125" t="s">
        <v>842</v>
      </c>
      <c r="B726" s="391" t="s">
        <v>514</v>
      </c>
      <c r="C726" s="391" t="s">
        <v>483</v>
      </c>
      <c r="D726" s="391" t="s">
        <v>391</v>
      </c>
      <c r="E726" s="391" t="s">
        <v>843</v>
      </c>
      <c r="F726" s="391"/>
      <c r="G726" s="391"/>
      <c r="H726" s="391"/>
      <c r="I726" s="391"/>
      <c r="J726" s="391"/>
      <c r="K726" s="391"/>
      <c r="L726" s="391" t="s">
        <v>844</v>
      </c>
      <c r="M726" s="391"/>
      <c r="N726" s="417"/>
      <c r="O726" s="417"/>
      <c r="P726" s="417"/>
      <c r="Q726" s="595" t="e">
        <f t="shared" si="12"/>
        <v>#DIV/0!</v>
      </c>
    </row>
    <row r="727" spans="1:17" ht="63" hidden="1" outlineLevel="1">
      <c r="A727" s="125" t="s">
        <v>842</v>
      </c>
      <c r="B727" s="391" t="s">
        <v>514</v>
      </c>
      <c r="C727" s="391" t="s">
        <v>483</v>
      </c>
      <c r="D727" s="391" t="s">
        <v>391</v>
      </c>
      <c r="E727" s="391" t="s">
        <v>845</v>
      </c>
      <c r="F727" s="391"/>
      <c r="G727" s="391"/>
      <c r="H727" s="391"/>
      <c r="I727" s="391"/>
      <c r="J727" s="391"/>
      <c r="K727" s="391"/>
      <c r="L727" s="391" t="s">
        <v>844</v>
      </c>
      <c r="M727" s="391"/>
      <c r="N727" s="417"/>
      <c r="O727" s="417"/>
      <c r="P727" s="417"/>
      <c r="Q727" s="595" t="e">
        <f t="shared" si="12"/>
        <v>#DIV/0!</v>
      </c>
    </row>
    <row r="728" spans="1:17" s="79" customFormat="1" ht="31.5" outlineLevel="1">
      <c r="A728" s="252" t="s">
        <v>893</v>
      </c>
      <c r="B728" s="362" t="s">
        <v>514</v>
      </c>
      <c r="C728" s="358" t="s">
        <v>388</v>
      </c>
      <c r="D728" s="358" t="s">
        <v>382</v>
      </c>
      <c r="E728" s="358" t="s">
        <v>770</v>
      </c>
      <c r="F728" s="358" t="s">
        <v>478</v>
      </c>
      <c r="G728" s="358" t="s">
        <v>789</v>
      </c>
      <c r="H728" s="358" t="s">
        <v>481</v>
      </c>
      <c r="I728" s="358" t="s">
        <v>770</v>
      </c>
      <c r="J728" s="358" t="s">
        <v>528</v>
      </c>
      <c r="K728" s="358" t="s">
        <v>480</v>
      </c>
      <c r="L728" s="362" t="s">
        <v>369</v>
      </c>
      <c r="M728" s="362"/>
      <c r="N728" s="363">
        <v>4431.3</v>
      </c>
      <c r="O728" s="363">
        <v>4527.67</v>
      </c>
      <c r="P728" s="363">
        <v>4527.67</v>
      </c>
      <c r="Q728" s="595">
        <f t="shared" si="12"/>
        <v>1</v>
      </c>
    </row>
    <row r="729" spans="1:17" ht="16.5" hidden="1" outlineLevel="1">
      <c r="A729" s="125" t="s">
        <v>774</v>
      </c>
      <c r="B729" s="391" t="s">
        <v>514</v>
      </c>
      <c r="C729" s="72" t="s">
        <v>388</v>
      </c>
      <c r="D729" s="72" t="s">
        <v>382</v>
      </c>
      <c r="E729" s="72"/>
      <c r="F729" s="72"/>
      <c r="G729" s="72"/>
      <c r="H729" s="72"/>
      <c r="I729" s="72"/>
      <c r="J729" s="72"/>
      <c r="K729" s="72"/>
      <c r="L729" s="391" t="s">
        <v>735</v>
      </c>
      <c r="M729" s="391" t="s">
        <v>636</v>
      </c>
      <c r="N729" s="417">
        <v>3136.76</v>
      </c>
      <c r="O729" s="417">
        <v>3136.76</v>
      </c>
      <c r="P729" s="417"/>
      <c r="Q729" s="595">
        <f t="shared" si="12"/>
        <v>0</v>
      </c>
    </row>
    <row r="730" spans="1:17" ht="16.5" hidden="1" outlineLevel="1">
      <c r="A730" s="125" t="s">
        <v>775</v>
      </c>
      <c r="B730" s="391" t="s">
        <v>514</v>
      </c>
      <c r="C730" s="72" t="s">
        <v>388</v>
      </c>
      <c r="D730" s="72" t="s">
        <v>382</v>
      </c>
      <c r="E730" s="72"/>
      <c r="F730" s="72"/>
      <c r="G730" s="72"/>
      <c r="H730" s="72"/>
      <c r="I730" s="72"/>
      <c r="J730" s="72"/>
      <c r="K730" s="72"/>
      <c r="L730" s="391" t="s">
        <v>735</v>
      </c>
      <c r="M730" s="391" t="s">
        <v>637</v>
      </c>
      <c r="N730" s="417">
        <v>947.3</v>
      </c>
      <c r="O730" s="417">
        <v>947.3</v>
      </c>
      <c r="P730" s="417"/>
      <c r="Q730" s="595">
        <f t="shared" si="12"/>
        <v>0</v>
      </c>
    </row>
    <row r="731" spans="1:17" ht="16.5" hidden="1" outlineLevel="1">
      <c r="A731" s="125" t="s">
        <v>784</v>
      </c>
      <c r="B731" s="391" t="s">
        <v>514</v>
      </c>
      <c r="C731" s="72" t="s">
        <v>388</v>
      </c>
      <c r="D731" s="72" t="s">
        <v>382</v>
      </c>
      <c r="E731" s="72"/>
      <c r="F731" s="72"/>
      <c r="G731" s="72"/>
      <c r="H731" s="72"/>
      <c r="I731" s="72"/>
      <c r="J731" s="72"/>
      <c r="K731" s="72"/>
      <c r="L731" s="391" t="s">
        <v>639</v>
      </c>
      <c r="M731" s="391" t="s">
        <v>645</v>
      </c>
      <c r="N731" s="417"/>
      <c r="O731" s="417"/>
      <c r="P731" s="417"/>
      <c r="Q731" s="595" t="e">
        <f t="shared" si="12"/>
        <v>#DIV/0!</v>
      </c>
    </row>
    <row r="732" spans="1:17" ht="16.5" hidden="1" outlineLevel="1">
      <c r="A732" s="125" t="s">
        <v>786</v>
      </c>
      <c r="B732" s="391" t="s">
        <v>514</v>
      </c>
      <c r="C732" s="72" t="s">
        <v>388</v>
      </c>
      <c r="D732" s="72" t="s">
        <v>382</v>
      </c>
      <c r="E732" s="72"/>
      <c r="F732" s="72"/>
      <c r="G732" s="72"/>
      <c r="H732" s="72"/>
      <c r="I732" s="72"/>
      <c r="J732" s="72"/>
      <c r="K732" s="72"/>
      <c r="L732" s="391" t="s">
        <v>639</v>
      </c>
      <c r="M732" s="391" t="s">
        <v>647</v>
      </c>
      <c r="N732" s="417">
        <v>7</v>
      </c>
      <c r="O732" s="417">
        <v>7</v>
      </c>
      <c r="P732" s="417"/>
      <c r="Q732" s="595">
        <f t="shared" si="12"/>
        <v>0</v>
      </c>
    </row>
    <row r="733" spans="1:17" ht="31.5" hidden="1" outlineLevel="1">
      <c r="A733" s="125" t="s">
        <v>787</v>
      </c>
      <c r="B733" s="391" t="s">
        <v>514</v>
      </c>
      <c r="C733" s="72" t="s">
        <v>388</v>
      </c>
      <c r="D733" s="72" t="s">
        <v>382</v>
      </c>
      <c r="E733" s="72"/>
      <c r="F733" s="72"/>
      <c r="G733" s="72"/>
      <c r="H733" s="72"/>
      <c r="I733" s="72"/>
      <c r="J733" s="72"/>
      <c r="K733" s="72"/>
      <c r="L733" s="391" t="s">
        <v>639</v>
      </c>
      <c r="M733" s="391" t="s">
        <v>648</v>
      </c>
      <c r="N733" s="417">
        <v>25.75</v>
      </c>
      <c r="O733" s="417">
        <v>25.75</v>
      </c>
      <c r="P733" s="417"/>
      <c r="Q733" s="595">
        <f t="shared" si="12"/>
        <v>0</v>
      </c>
    </row>
    <row r="734" spans="1:17" s="79" customFormat="1" ht="16.5" outlineLevel="1">
      <c r="A734" s="252" t="s">
        <v>854</v>
      </c>
      <c r="B734" s="362" t="s">
        <v>514</v>
      </c>
      <c r="C734" s="358" t="s">
        <v>388</v>
      </c>
      <c r="D734" s="358" t="s">
        <v>382</v>
      </c>
      <c r="E734" s="358" t="s">
        <v>770</v>
      </c>
      <c r="F734" s="358" t="s">
        <v>478</v>
      </c>
      <c r="G734" s="358" t="s">
        <v>789</v>
      </c>
      <c r="H734" s="358" t="s">
        <v>481</v>
      </c>
      <c r="I734" s="358" t="s">
        <v>770</v>
      </c>
      <c r="J734" s="358" t="s">
        <v>478</v>
      </c>
      <c r="K734" s="358" t="s">
        <v>478</v>
      </c>
      <c r="L734" s="362" t="s">
        <v>369</v>
      </c>
      <c r="M734" s="362"/>
      <c r="N734" s="363">
        <v>120.78</v>
      </c>
      <c r="O734" s="363">
        <v>135.11</v>
      </c>
      <c r="P734" s="363">
        <v>135.11</v>
      </c>
      <c r="Q734" s="595">
        <f t="shared" si="12"/>
        <v>1</v>
      </c>
    </row>
    <row r="735" spans="1:17" ht="16.5" hidden="1" outlineLevel="1">
      <c r="A735" s="125" t="s">
        <v>774</v>
      </c>
      <c r="B735" s="391" t="s">
        <v>514</v>
      </c>
      <c r="C735" s="72" t="s">
        <v>388</v>
      </c>
      <c r="D735" s="72" t="s">
        <v>382</v>
      </c>
      <c r="E735" s="72"/>
      <c r="F735" s="72"/>
      <c r="G735" s="72"/>
      <c r="H735" s="72"/>
      <c r="I735" s="72"/>
      <c r="J735" s="72"/>
      <c r="K735" s="72"/>
      <c r="L735" s="391" t="s">
        <v>735</v>
      </c>
      <c r="M735" s="391" t="s">
        <v>636</v>
      </c>
      <c r="N735" s="417">
        <v>423.57</v>
      </c>
      <c r="O735" s="417">
        <v>423.57</v>
      </c>
      <c r="P735" s="417"/>
      <c r="Q735" s="595">
        <f t="shared" si="12"/>
        <v>0</v>
      </c>
    </row>
    <row r="736" spans="1:17" ht="16.5" hidden="1" outlineLevel="1">
      <c r="A736" s="125" t="s">
        <v>775</v>
      </c>
      <c r="B736" s="391" t="s">
        <v>514</v>
      </c>
      <c r="C736" s="72" t="s">
        <v>388</v>
      </c>
      <c r="D736" s="72" t="s">
        <v>382</v>
      </c>
      <c r="E736" s="72"/>
      <c r="F736" s="72"/>
      <c r="G736" s="72"/>
      <c r="H736" s="72"/>
      <c r="I736" s="72"/>
      <c r="J736" s="72"/>
      <c r="K736" s="72"/>
      <c r="L736" s="391" t="s">
        <v>735</v>
      </c>
      <c r="M736" s="391" t="s">
        <v>637</v>
      </c>
      <c r="N736" s="417">
        <v>127.92</v>
      </c>
      <c r="O736" s="417">
        <v>127.92</v>
      </c>
      <c r="P736" s="417"/>
      <c r="Q736" s="595">
        <f t="shared" si="12"/>
        <v>0</v>
      </c>
    </row>
    <row r="737" spans="1:17" s="79" customFormat="1" ht="31.5" outlineLevel="1">
      <c r="A737" s="252" t="s">
        <v>894</v>
      </c>
      <c r="B737" s="362" t="s">
        <v>514</v>
      </c>
      <c r="C737" s="358" t="s">
        <v>483</v>
      </c>
      <c r="D737" s="358" t="s">
        <v>387</v>
      </c>
      <c r="E737" s="358" t="s">
        <v>770</v>
      </c>
      <c r="F737" s="358" t="s">
        <v>478</v>
      </c>
      <c r="G737" s="358" t="s">
        <v>789</v>
      </c>
      <c r="H737" s="358" t="s">
        <v>481</v>
      </c>
      <c r="I737" s="358" t="s">
        <v>770</v>
      </c>
      <c r="J737" s="358" t="s">
        <v>478</v>
      </c>
      <c r="K737" s="358" t="s">
        <v>480</v>
      </c>
      <c r="L737" s="362" t="s">
        <v>369</v>
      </c>
      <c r="M737" s="362"/>
      <c r="N737" s="363">
        <v>75.33</v>
      </c>
      <c r="O737" s="363">
        <v>80.56</v>
      </c>
      <c r="P737" s="363">
        <v>80.56</v>
      </c>
      <c r="Q737" s="595">
        <f t="shared" si="12"/>
        <v>1</v>
      </c>
    </row>
    <row r="738" spans="1:17" ht="16.5" hidden="1" outlineLevel="1">
      <c r="A738" s="125" t="s">
        <v>784</v>
      </c>
      <c r="B738" s="391" t="s">
        <v>514</v>
      </c>
      <c r="C738" s="72" t="s">
        <v>388</v>
      </c>
      <c r="D738" s="72" t="s">
        <v>382</v>
      </c>
      <c r="E738" s="72"/>
      <c r="F738" s="72"/>
      <c r="G738" s="72"/>
      <c r="H738" s="72"/>
      <c r="I738" s="72"/>
      <c r="J738" s="72"/>
      <c r="K738" s="72"/>
      <c r="L738" s="391" t="s">
        <v>639</v>
      </c>
      <c r="M738" s="391" t="s">
        <v>645</v>
      </c>
      <c r="N738" s="417">
        <v>1.86</v>
      </c>
      <c r="O738" s="417">
        <v>1.86</v>
      </c>
      <c r="P738" s="417"/>
      <c r="Q738" s="595">
        <f t="shared" si="12"/>
        <v>0</v>
      </c>
    </row>
    <row r="739" spans="1:17" ht="16.5" hidden="1" outlineLevel="1">
      <c r="A739" s="125" t="s">
        <v>855</v>
      </c>
      <c r="B739" s="391" t="s">
        <v>514</v>
      </c>
      <c r="C739" s="72" t="s">
        <v>388</v>
      </c>
      <c r="D739" s="72" t="s">
        <v>382</v>
      </c>
      <c r="E739" s="72"/>
      <c r="F739" s="72"/>
      <c r="G739" s="72"/>
      <c r="H739" s="72"/>
      <c r="I739" s="72"/>
      <c r="J739" s="72"/>
      <c r="K739" s="72"/>
      <c r="L739" s="391" t="s">
        <v>733</v>
      </c>
      <c r="M739" s="391" t="s">
        <v>680</v>
      </c>
      <c r="N739" s="417">
        <v>73.47</v>
      </c>
      <c r="O739" s="417">
        <v>73.47</v>
      </c>
      <c r="P739" s="417"/>
      <c r="Q739" s="595">
        <f t="shared" si="12"/>
        <v>0</v>
      </c>
    </row>
    <row r="740" spans="1:17" s="79" customFormat="1" ht="31.5" outlineLevel="1">
      <c r="A740" s="252" t="s">
        <v>856</v>
      </c>
      <c r="B740" s="362" t="s">
        <v>514</v>
      </c>
      <c r="C740" s="358" t="s">
        <v>388</v>
      </c>
      <c r="D740" s="358" t="s">
        <v>382</v>
      </c>
      <c r="E740" s="358" t="s">
        <v>770</v>
      </c>
      <c r="F740" s="358" t="s">
        <v>478</v>
      </c>
      <c r="G740" s="358" t="s">
        <v>789</v>
      </c>
      <c r="H740" s="358" t="s">
        <v>481</v>
      </c>
      <c r="I740" s="358" t="s">
        <v>770</v>
      </c>
      <c r="J740" s="358" t="s">
        <v>478</v>
      </c>
      <c r="K740" s="358" t="s">
        <v>481</v>
      </c>
      <c r="L740" s="362" t="s">
        <v>369</v>
      </c>
      <c r="M740" s="362"/>
      <c r="N740" s="363">
        <v>35.07</v>
      </c>
      <c r="O740" s="363">
        <v>27.7</v>
      </c>
      <c r="P740" s="363">
        <v>27.7</v>
      </c>
      <c r="Q740" s="595">
        <f t="shared" si="12"/>
        <v>1</v>
      </c>
    </row>
    <row r="741" spans="1:17" ht="31.5" hidden="1" outlineLevel="1">
      <c r="A741" s="125" t="s">
        <v>787</v>
      </c>
      <c r="B741" s="391" t="s">
        <v>514</v>
      </c>
      <c r="C741" s="358" t="s">
        <v>388</v>
      </c>
      <c r="D741" s="358" t="s">
        <v>382</v>
      </c>
      <c r="E741" s="358"/>
      <c r="F741" s="358"/>
      <c r="G741" s="358"/>
      <c r="H741" s="358"/>
      <c r="I741" s="358"/>
      <c r="J741" s="358"/>
      <c r="K741" s="358"/>
      <c r="L741" s="391" t="s">
        <v>639</v>
      </c>
      <c r="M741" s="391" t="s">
        <v>648</v>
      </c>
      <c r="N741" s="417">
        <v>35.07</v>
      </c>
      <c r="O741" s="417">
        <v>35.07</v>
      </c>
      <c r="P741" s="417"/>
      <c r="Q741" s="595">
        <f t="shared" si="12"/>
        <v>0</v>
      </c>
    </row>
    <row r="742" spans="1:17" s="79" customFormat="1" ht="31.5" outlineLevel="1">
      <c r="A742" s="252" t="s">
        <v>857</v>
      </c>
      <c r="B742" s="358" t="s">
        <v>514</v>
      </c>
      <c r="C742" s="358" t="s">
        <v>388</v>
      </c>
      <c r="D742" s="358" t="s">
        <v>382</v>
      </c>
      <c r="E742" s="72" t="s">
        <v>770</v>
      </c>
      <c r="F742" s="72" t="s">
        <v>528</v>
      </c>
      <c r="G742" s="72" t="s">
        <v>478</v>
      </c>
      <c r="H742" s="72" t="s">
        <v>770</v>
      </c>
      <c r="I742" s="72" t="s">
        <v>528</v>
      </c>
      <c r="J742" s="72" t="s">
        <v>770</v>
      </c>
      <c r="K742" s="72" t="s">
        <v>479</v>
      </c>
      <c r="L742" s="362" t="s">
        <v>369</v>
      </c>
      <c r="M742" s="362"/>
      <c r="N742" s="363">
        <f>33.44+3.3</f>
        <v>36.739999999999995</v>
      </c>
      <c r="O742" s="363">
        <v>181.92</v>
      </c>
      <c r="P742" s="363">
        <v>181.92</v>
      </c>
      <c r="Q742" s="595">
        <f t="shared" si="12"/>
        <v>1</v>
      </c>
    </row>
    <row r="743" spans="1:17" ht="31.5" hidden="1" outlineLevel="1">
      <c r="A743" s="125" t="s">
        <v>787</v>
      </c>
      <c r="B743" s="72" t="s">
        <v>514</v>
      </c>
      <c r="C743" s="72" t="s">
        <v>388</v>
      </c>
      <c r="D743" s="72" t="s">
        <v>382</v>
      </c>
      <c r="E743" s="72"/>
      <c r="F743" s="72"/>
      <c r="G743" s="72"/>
      <c r="H743" s="72"/>
      <c r="I743" s="72"/>
      <c r="J743" s="72"/>
      <c r="K743" s="72"/>
      <c r="L743" s="391" t="s">
        <v>639</v>
      </c>
      <c r="M743" s="391" t="s">
        <v>648</v>
      </c>
      <c r="N743" s="417">
        <v>33.44</v>
      </c>
      <c r="O743" s="417">
        <v>33.44</v>
      </c>
      <c r="P743" s="417"/>
      <c r="Q743" s="595">
        <f t="shared" si="12"/>
        <v>0</v>
      </c>
    </row>
    <row r="744" spans="1:17" s="79" customFormat="1" ht="31.5" outlineLevel="1">
      <c r="A744" s="252" t="s">
        <v>895</v>
      </c>
      <c r="B744" s="358" t="s">
        <v>514</v>
      </c>
      <c r="C744" s="358" t="s">
        <v>388</v>
      </c>
      <c r="D744" s="358" t="s">
        <v>382</v>
      </c>
      <c r="E744" s="72" t="s">
        <v>770</v>
      </c>
      <c r="F744" s="72" t="s">
        <v>528</v>
      </c>
      <c r="G744" s="72" t="s">
        <v>478</v>
      </c>
      <c r="H744" s="72" t="s">
        <v>770</v>
      </c>
      <c r="I744" s="72" t="s">
        <v>528</v>
      </c>
      <c r="J744" s="72" t="s">
        <v>770</v>
      </c>
      <c r="K744" s="72" t="s">
        <v>480</v>
      </c>
      <c r="L744" s="362" t="s">
        <v>369</v>
      </c>
      <c r="M744" s="362"/>
      <c r="N744" s="363">
        <f>220.1+89.22</f>
        <v>309.32</v>
      </c>
      <c r="O744" s="363">
        <v>189.5</v>
      </c>
      <c r="P744" s="363">
        <v>189.5</v>
      </c>
      <c r="Q744" s="595">
        <f t="shared" si="12"/>
        <v>1</v>
      </c>
    </row>
    <row r="745" spans="1:17" ht="16.5" hidden="1" outlineLevel="1">
      <c r="A745" s="125" t="s">
        <v>774</v>
      </c>
      <c r="B745" s="391" t="s">
        <v>514</v>
      </c>
      <c r="C745" s="391" t="s">
        <v>388</v>
      </c>
      <c r="D745" s="391" t="s">
        <v>382</v>
      </c>
      <c r="E745" s="391"/>
      <c r="F745" s="391"/>
      <c r="G745" s="391"/>
      <c r="H745" s="391"/>
      <c r="I745" s="391"/>
      <c r="J745" s="391"/>
      <c r="K745" s="391"/>
      <c r="L745" s="391" t="s">
        <v>639</v>
      </c>
      <c r="M745" s="391" t="s">
        <v>636</v>
      </c>
      <c r="N745" s="417">
        <v>72.69</v>
      </c>
      <c r="O745" s="417">
        <v>72.69</v>
      </c>
      <c r="P745" s="417"/>
      <c r="Q745" s="595">
        <f t="shared" si="12"/>
        <v>0</v>
      </c>
    </row>
    <row r="746" spans="1:17" ht="16.5" hidden="1" outlineLevel="1">
      <c r="A746" s="125" t="s">
        <v>775</v>
      </c>
      <c r="B746" s="391" t="s">
        <v>514</v>
      </c>
      <c r="C746" s="391" t="s">
        <v>388</v>
      </c>
      <c r="D746" s="391" t="s">
        <v>382</v>
      </c>
      <c r="E746" s="391"/>
      <c r="F746" s="391"/>
      <c r="G746" s="391"/>
      <c r="H746" s="391"/>
      <c r="I746" s="391"/>
      <c r="J746" s="391"/>
      <c r="K746" s="391"/>
      <c r="L746" s="391" t="s">
        <v>639</v>
      </c>
      <c r="M746" s="391" t="s">
        <v>637</v>
      </c>
      <c r="N746" s="417">
        <v>21.95</v>
      </c>
      <c r="O746" s="417">
        <v>21.95</v>
      </c>
      <c r="P746" s="417"/>
      <c r="Q746" s="595">
        <f t="shared" si="12"/>
        <v>0</v>
      </c>
    </row>
    <row r="747" spans="1:17" ht="31.5" hidden="1" outlineLevel="1">
      <c r="A747" s="125" t="s">
        <v>787</v>
      </c>
      <c r="B747" s="391" t="s">
        <v>514</v>
      </c>
      <c r="C747" s="391" t="s">
        <v>388</v>
      </c>
      <c r="D747" s="391" t="s">
        <v>382</v>
      </c>
      <c r="E747" s="391"/>
      <c r="F747" s="391"/>
      <c r="G747" s="391"/>
      <c r="H747" s="391"/>
      <c r="I747" s="391"/>
      <c r="J747" s="391"/>
      <c r="K747" s="391"/>
      <c r="L747" s="391" t="s">
        <v>639</v>
      </c>
      <c r="M747" s="391" t="s">
        <v>648</v>
      </c>
      <c r="N747" s="417">
        <v>125.46</v>
      </c>
      <c r="O747" s="417">
        <v>125.46</v>
      </c>
      <c r="P747" s="417"/>
      <c r="Q747" s="595">
        <f t="shared" si="12"/>
        <v>0</v>
      </c>
    </row>
    <row r="748" spans="1:17" ht="141.75" outlineLevel="1">
      <c r="A748" s="125" t="s">
        <v>952</v>
      </c>
      <c r="B748" s="391" t="s">
        <v>514</v>
      </c>
      <c r="C748" s="391" t="s">
        <v>388</v>
      </c>
      <c r="D748" s="391" t="s">
        <v>382</v>
      </c>
      <c r="E748" s="391" t="s">
        <v>552</v>
      </c>
      <c r="F748" s="391" t="s">
        <v>552</v>
      </c>
      <c r="G748" s="391" t="s">
        <v>528</v>
      </c>
      <c r="H748" s="391" t="s">
        <v>552</v>
      </c>
      <c r="I748" s="391" t="s">
        <v>770</v>
      </c>
      <c r="J748" s="391" t="s">
        <v>770</v>
      </c>
      <c r="K748" s="391" t="s">
        <v>528</v>
      </c>
      <c r="L748" s="391" t="s">
        <v>778</v>
      </c>
      <c r="M748" s="391"/>
      <c r="N748" s="417">
        <v>0</v>
      </c>
      <c r="O748" s="417">
        <v>30</v>
      </c>
      <c r="P748" s="417">
        <v>30</v>
      </c>
      <c r="Q748" s="595">
        <f t="shared" si="12"/>
        <v>1</v>
      </c>
    </row>
    <row r="749" spans="1:17" ht="30" outlineLevel="1">
      <c r="A749" s="62" t="s">
        <v>864</v>
      </c>
      <c r="B749" s="74" t="s">
        <v>514</v>
      </c>
      <c r="C749" s="74" t="s">
        <v>388</v>
      </c>
      <c r="D749" s="74" t="s">
        <v>388</v>
      </c>
      <c r="E749" s="74" t="s">
        <v>770</v>
      </c>
      <c r="F749" s="74" t="s">
        <v>528</v>
      </c>
      <c r="G749" s="74" t="s">
        <v>479</v>
      </c>
      <c r="H749" s="74" t="s">
        <v>770</v>
      </c>
      <c r="I749" s="74" t="s">
        <v>528</v>
      </c>
      <c r="J749" s="74" t="s">
        <v>770</v>
      </c>
      <c r="K749" s="74" t="s">
        <v>479</v>
      </c>
      <c r="L749" s="74" t="s">
        <v>778</v>
      </c>
      <c r="M749" s="74"/>
      <c r="N749" s="566"/>
      <c r="O749" s="568">
        <v>57.24</v>
      </c>
      <c r="P749" s="568">
        <v>57.24</v>
      </c>
      <c r="Q749" s="595">
        <f t="shared" si="12"/>
        <v>1</v>
      </c>
    </row>
    <row r="750" spans="1:17" ht="45" outlineLevel="1">
      <c r="A750" s="51" t="s">
        <v>866</v>
      </c>
      <c r="B750" s="73" t="s">
        <v>514</v>
      </c>
      <c r="C750" s="73" t="s">
        <v>388</v>
      </c>
      <c r="D750" s="73" t="s">
        <v>385</v>
      </c>
      <c r="E750" s="391" t="s">
        <v>770</v>
      </c>
      <c r="F750" s="391" t="s">
        <v>528</v>
      </c>
      <c r="G750" s="391" t="s">
        <v>546</v>
      </c>
      <c r="H750" s="391" t="s">
        <v>770</v>
      </c>
      <c r="I750" s="391" t="s">
        <v>528</v>
      </c>
      <c r="J750" s="391" t="s">
        <v>770</v>
      </c>
      <c r="K750" s="391" t="s">
        <v>546</v>
      </c>
      <c r="L750" s="73" t="s">
        <v>778</v>
      </c>
      <c r="M750" s="73"/>
      <c r="N750" s="371"/>
      <c r="O750" s="569">
        <v>102.34</v>
      </c>
      <c r="P750" s="569">
        <v>102.34</v>
      </c>
      <c r="Q750" s="595">
        <f t="shared" si="12"/>
        <v>1</v>
      </c>
    </row>
    <row r="751" spans="1:17" s="397" customFormat="1" ht="30" customHeight="1" outlineLevel="1">
      <c r="A751" s="418" t="s">
        <v>901</v>
      </c>
      <c r="B751" s="419" t="s">
        <v>514</v>
      </c>
      <c r="C751" s="419"/>
      <c r="D751" s="419"/>
      <c r="E751" s="419"/>
      <c r="F751" s="419"/>
      <c r="G751" s="419"/>
      <c r="H751" s="419"/>
      <c r="I751" s="419"/>
      <c r="J751" s="419"/>
      <c r="K751" s="419"/>
      <c r="L751" s="419"/>
      <c r="M751" s="419"/>
      <c r="N751" s="420">
        <f>N755+N759+N773+N779+N782+N785+N787+N789</f>
        <v>13468.109999999997</v>
      </c>
      <c r="O751" s="420">
        <f>O752</f>
        <v>14550.340000000002</v>
      </c>
      <c r="P751" s="420">
        <f>P752</f>
        <v>13859.270000000002</v>
      </c>
      <c r="Q751" s="595">
        <f t="shared" si="12"/>
        <v>0.9525048899200981</v>
      </c>
    </row>
    <row r="752" spans="1:17" ht="16.5" outlineLevel="1">
      <c r="A752" s="125" t="s">
        <v>509</v>
      </c>
      <c r="B752" s="391" t="s">
        <v>514</v>
      </c>
      <c r="C752" s="391" t="s">
        <v>388</v>
      </c>
      <c r="D752" s="391"/>
      <c r="E752" s="391"/>
      <c r="F752" s="391"/>
      <c r="G752" s="391"/>
      <c r="H752" s="391"/>
      <c r="I752" s="391"/>
      <c r="J752" s="391"/>
      <c r="K752" s="391"/>
      <c r="L752" s="391"/>
      <c r="M752" s="391"/>
      <c r="N752" s="417">
        <v>13211.35</v>
      </c>
      <c r="O752" s="417">
        <f>O753</f>
        <v>14550.340000000002</v>
      </c>
      <c r="P752" s="417">
        <f>P753</f>
        <v>13859.270000000002</v>
      </c>
      <c r="Q752" s="595">
        <f t="shared" si="12"/>
        <v>0.9525048899200981</v>
      </c>
    </row>
    <row r="753" spans="1:17" ht="16.5" outlineLevel="1">
      <c r="A753" s="125" t="s">
        <v>512</v>
      </c>
      <c r="B753" s="391" t="s">
        <v>514</v>
      </c>
      <c r="C753" s="391" t="s">
        <v>388</v>
      </c>
      <c r="D753" s="391" t="s">
        <v>382</v>
      </c>
      <c r="E753" s="391"/>
      <c r="F753" s="391"/>
      <c r="G753" s="391"/>
      <c r="H753" s="391"/>
      <c r="I753" s="391"/>
      <c r="J753" s="391"/>
      <c r="K753" s="391"/>
      <c r="L753" s="391"/>
      <c r="M753" s="391"/>
      <c r="N753" s="417">
        <v>13211.35</v>
      </c>
      <c r="O753" s="417">
        <f>O754+O773+O779+O782+O785+O787+O789+O793+O794+O795+O796</f>
        <v>14550.340000000002</v>
      </c>
      <c r="P753" s="417">
        <f>P754+P773+P779+P782+P785+P787+P789+P793+P794+P795+P796</f>
        <v>13859.270000000002</v>
      </c>
      <c r="Q753" s="595">
        <f t="shared" si="12"/>
        <v>0.9525048899200981</v>
      </c>
    </row>
    <row r="754" spans="1:17" ht="47.25" outlineLevel="1">
      <c r="A754" s="125" t="s">
        <v>892</v>
      </c>
      <c r="B754" s="391" t="s">
        <v>514</v>
      </c>
      <c r="C754" s="391" t="s">
        <v>388</v>
      </c>
      <c r="D754" s="391" t="s">
        <v>382</v>
      </c>
      <c r="E754" s="391" t="s">
        <v>770</v>
      </c>
      <c r="F754" s="391" t="s">
        <v>528</v>
      </c>
      <c r="G754" s="391"/>
      <c r="H754" s="391"/>
      <c r="I754" s="391"/>
      <c r="J754" s="391"/>
      <c r="K754" s="391"/>
      <c r="L754" s="391" t="s">
        <v>369</v>
      </c>
      <c r="M754" s="391"/>
      <c r="N754" s="417">
        <f>N755+N759</f>
        <v>1472.29</v>
      </c>
      <c r="O754" s="417">
        <f>O755+O759</f>
        <v>1703.1799999999998</v>
      </c>
      <c r="P754" s="417">
        <f>P755+P759</f>
        <v>1703.18</v>
      </c>
      <c r="Q754" s="595">
        <f t="shared" si="12"/>
        <v>1.0000000000000002</v>
      </c>
    </row>
    <row r="755" spans="1:17" ht="31.5" outlineLevel="1">
      <c r="A755" s="125" t="s">
        <v>850</v>
      </c>
      <c r="B755" s="391" t="s">
        <v>514</v>
      </c>
      <c r="C755" s="391" t="s">
        <v>388</v>
      </c>
      <c r="D755" s="391" t="s">
        <v>382</v>
      </c>
      <c r="E755" s="391" t="s">
        <v>770</v>
      </c>
      <c r="F755" s="391" t="s">
        <v>528</v>
      </c>
      <c r="G755" s="391" t="s">
        <v>478</v>
      </c>
      <c r="H755" s="391" t="s">
        <v>770</v>
      </c>
      <c r="I755" s="391" t="s">
        <v>528</v>
      </c>
      <c r="J755" s="391" t="s">
        <v>770</v>
      </c>
      <c r="K755" s="391" t="s">
        <v>528</v>
      </c>
      <c r="L755" s="391" t="s">
        <v>773</v>
      </c>
      <c r="M755" s="391"/>
      <c r="N755" s="417">
        <v>718.59</v>
      </c>
      <c r="O755" s="417">
        <f>757.91+39.8</f>
        <v>797.7099999999999</v>
      </c>
      <c r="P755" s="417">
        <v>797.71</v>
      </c>
      <c r="Q755" s="595">
        <f t="shared" si="12"/>
        <v>1.0000000000000002</v>
      </c>
    </row>
    <row r="756" spans="1:17" ht="16.5" hidden="1" outlineLevel="1">
      <c r="A756" s="125" t="s">
        <v>774</v>
      </c>
      <c r="B756" s="391" t="s">
        <v>514</v>
      </c>
      <c r="C756" s="391" t="s">
        <v>388</v>
      </c>
      <c r="D756" s="391" t="s">
        <v>382</v>
      </c>
      <c r="E756" s="391"/>
      <c r="F756" s="391"/>
      <c r="G756" s="391"/>
      <c r="H756" s="391"/>
      <c r="I756" s="391"/>
      <c r="J756" s="391"/>
      <c r="K756" s="391"/>
      <c r="L756" s="391" t="s">
        <v>735</v>
      </c>
      <c r="M756" s="391" t="s">
        <v>636</v>
      </c>
      <c r="N756" s="417">
        <v>230.21</v>
      </c>
      <c r="O756" s="417">
        <v>230.21</v>
      </c>
      <c r="P756" s="417"/>
      <c r="Q756" s="595">
        <f t="shared" si="12"/>
        <v>0</v>
      </c>
    </row>
    <row r="757" spans="1:17" ht="16.5" hidden="1" outlineLevel="1">
      <c r="A757" s="125" t="s">
        <v>776</v>
      </c>
      <c r="B757" s="391" t="s">
        <v>514</v>
      </c>
      <c r="C757" s="391" t="s">
        <v>388</v>
      </c>
      <c r="D757" s="391" t="s">
        <v>382</v>
      </c>
      <c r="E757" s="391"/>
      <c r="F757" s="391"/>
      <c r="G757" s="391"/>
      <c r="H757" s="391"/>
      <c r="I757" s="391"/>
      <c r="J757" s="391"/>
      <c r="K757" s="391"/>
      <c r="L757" s="391" t="s">
        <v>676</v>
      </c>
      <c r="M757" s="391" t="s">
        <v>660</v>
      </c>
      <c r="N757" s="417"/>
      <c r="O757" s="417"/>
      <c r="P757" s="417"/>
      <c r="Q757" s="595" t="e">
        <f t="shared" si="12"/>
        <v>#DIV/0!</v>
      </c>
    </row>
    <row r="758" spans="1:17" ht="16.5" hidden="1" outlineLevel="1">
      <c r="A758" s="125" t="s">
        <v>775</v>
      </c>
      <c r="B758" s="391" t="s">
        <v>514</v>
      </c>
      <c r="C758" s="391" t="s">
        <v>388</v>
      </c>
      <c r="D758" s="391" t="s">
        <v>382</v>
      </c>
      <c r="E758" s="391"/>
      <c r="F758" s="391"/>
      <c r="G758" s="391"/>
      <c r="H758" s="391"/>
      <c r="I758" s="391"/>
      <c r="J758" s="391"/>
      <c r="K758" s="391"/>
      <c r="L758" s="391" t="s">
        <v>735</v>
      </c>
      <c r="M758" s="391" t="s">
        <v>637</v>
      </c>
      <c r="N758" s="417">
        <v>69.52</v>
      </c>
      <c r="O758" s="417">
        <v>69.52</v>
      </c>
      <c r="P758" s="417"/>
      <c r="Q758" s="595">
        <f t="shared" si="12"/>
        <v>0</v>
      </c>
    </row>
    <row r="759" spans="1:17" ht="31.5" outlineLevel="1">
      <c r="A759" s="125" t="s">
        <v>777</v>
      </c>
      <c r="B759" s="391" t="s">
        <v>514</v>
      </c>
      <c r="C759" s="391" t="s">
        <v>388</v>
      </c>
      <c r="D759" s="391" t="s">
        <v>382</v>
      </c>
      <c r="E759" s="391" t="s">
        <v>770</v>
      </c>
      <c r="F759" s="391" t="s">
        <v>528</v>
      </c>
      <c r="G759" s="391" t="s">
        <v>478</v>
      </c>
      <c r="H759" s="391" t="s">
        <v>770</v>
      </c>
      <c r="I759" s="391" t="s">
        <v>528</v>
      </c>
      <c r="J759" s="391" t="s">
        <v>770</v>
      </c>
      <c r="K759" s="391" t="s">
        <v>478</v>
      </c>
      <c r="L759" s="391" t="s">
        <v>778</v>
      </c>
      <c r="M759" s="391"/>
      <c r="N759" s="417">
        <v>753.6999999999999</v>
      </c>
      <c r="O759" s="417">
        <v>905.47</v>
      </c>
      <c r="P759" s="417">
        <v>905.47</v>
      </c>
      <c r="Q759" s="595">
        <f t="shared" si="12"/>
        <v>1</v>
      </c>
    </row>
    <row r="760" spans="1:17" ht="16.5" hidden="1" outlineLevel="1">
      <c r="A760" s="125" t="s">
        <v>779</v>
      </c>
      <c r="B760" s="391" t="s">
        <v>514</v>
      </c>
      <c r="C760" s="391" t="s">
        <v>388</v>
      </c>
      <c r="D760" s="391" t="s">
        <v>382</v>
      </c>
      <c r="E760" s="391"/>
      <c r="F760" s="391"/>
      <c r="G760" s="391"/>
      <c r="H760" s="391"/>
      <c r="I760" s="391"/>
      <c r="J760" s="391"/>
      <c r="K760" s="391"/>
      <c r="L760" s="391" t="s">
        <v>639</v>
      </c>
      <c r="M760" s="391" t="s">
        <v>640</v>
      </c>
      <c r="N760" s="417">
        <v>26.46</v>
      </c>
      <c r="O760" s="417">
        <v>26.46</v>
      </c>
      <c r="P760" s="417"/>
      <c r="Q760" s="595">
        <f t="shared" si="12"/>
        <v>0</v>
      </c>
    </row>
    <row r="761" spans="1:17" ht="16.5" hidden="1" outlineLevel="1">
      <c r="A761" s="125" t="s">
        <v>780</v>
      </c>
      <c r="B761" s="391" t="s">
        <v>514</v>
      </c>
      <c r="C761" s="391" t="s">
        <v>388</v>
      </c>
      <c r="D761" s="391" t="s">
        <v>382</v>
      </c>
      <c r="E761" s="391"/>
      <c r="F761" s="391"/>
      <c r="G761" s="391"/>
      <c r="H761" s="391"/>
      <c r="I761" s="391"/>
      <c r="J761" s="391"/>
      <c r="K761" s="391"/>
      <c r="L761" s="391" t="s">
        <v>639</v>
      </c>
      <c r="M761" s="391" t="s">
        <v>641</v>
      </c>
      <c r="N761" s="417"/>
      <c r="O761" s="417"/>
      <c r="P761" s="417"/>
      <c r="Q761" s="595" t="e">
        <f t="shared" si="12"/>
        <v>#DIV/0!</v>
      </c>
    </row>
    <row r="762" spans="1:17" ht="16.5" hidden="1" outlineLevel="1">
      <c r="A762" s="125" t="s">
        <v>781</v>
      </c>
      <c r="B762" s="391" t="s">
        <v>514</v>
      </c>
      <c r="C762" s="391" t="s">
        <v>388</v>
      </c>
      <c r="D762" s="391" t="s">
        <v>382</v>
      </c>
      <c r="E762" s="391"/>
      <c r="F762" s="391"/>
      <c r="G762" s="391"/>
      <c r="H762" s="391"/>
      <c r="I762" s="391"/>
      <c r="J762" s="391"/>
      <c r="K762" s="391"/>
      <c r="L762" s="391" t="s">
        <v>639</v>
      </c>
      <c r="M762" s="391" t="s">
        <v>642</v>
      </c>
      <c r="N762" s="417">
        <v>267.6</v>
      </c>
      <c r="O762" s="417">
        <v>267.6</v>
      </c>
      <c r="P762" s="417"/>
      <c r="Q762" s="595">
        <f t="shared" si="12"/>
        <v>0</v>
      </c>
    </row>
    <row r="763" spans="1:17" ht="16.5" hidden="1" outlineLevel="1">
      <c r="A763" s="125" t="s">
        <v>782</v>
      </c>
      <c r="B763" s="391" t="s">
        <v>514</v>
      </c>
      <c r="C763" s="391" t="s">
        <v>388</v>
      </c>
      <c r="D763" s="391" t="s">
        <v>382</v>
      </c>
      <c r="E763" s="391"/>
      <c r="F763" s="391"/>
      <c r="G763" s="391"/>
      <c r="H763" s="391"/>
      <c r="I763" s="391"/>
      <c r="J763" s="391"/>
      <c r="K763" s="391"/>
      <c r="L763" s="391" t="s">
        <v>639</v>
      </c>
      <c r="M763" s="391" t="s">
        <v>643</v>
      </c>
      <c r="N763" s="417"/>
      <c r="O763" s="417"/>
      <c r="P763" s="417"/>
      <c r="Q763" s="595" t="e">
        <f t="shared" si="12"/>
        <v>#DIV/0!</v>
      </c>
    </row>
    <row r="764" spans="1:17" ht="16.5" hidden="1" outlineLevel="1">
      <c r="A764" s="125" t="s">
        <v>783</v>
      </c>
      <c r="B764" s="391" t="s">
        <v>514</v>
      </c>
      <c r="C764" s="391" t="s">
        <v>388</v>
      </c>
      <c r="D764" s="391" t="s">
        <v>382</v>
      </c>
      <c r="E764" s="391"/>
      <c r="F764" s="391"/>
      <c r="G764" s="391"/>
      <c r="H764" s="391"/>
      <c r="I764" s="391"/>
      <c r="J764" s="391"/>
      <c r="K764" s="391"/>
      <c r="L764" s="391" t="s">
        <v>639</v>
      </c>
      <c r="M764" s="391" t="s">
        <v>644</v>
      </c>
      <c r="N764" s="417">
        <v>59.47</v>
      </c>
      <c r="O764" s="417">
        <v>59.47</v>
      </c>
      <c r="P764" s="417"/>
      <c r="Q764" s="595">
        <f t="shared" si="12"/>
        <v>0</v>
      </c>
    </row>
    <row r="765" spans="1:17" ht="16.5" hidden="1" outlineLevel="1">
      <c r="A765" s="125" t="s">
        <v>784</v>
      </c>
      <c r="B765" s="391" t="s">
        <v>514</v>
      </c>
      <c r="C765" s="391" t="s">
        <v>388</v>
      </c>
      <c r="D765" s="391" t="s">
        <v>382</v>
      </c>
      <c r="E765" s="391"/>
      <c r="F765" s="391"/>
      <c r="G765" s="391"/>
      <c r="H765" s="391"/>
      <c r="I765" s="391"/>
      <c r="J765" s="391"/>
      <c r="K765" s="391"/>
      <c r="L765" s="391" t="s">
        <v>639</v>
      </c>
      <c r="M765" s="391" t="s">
        <v>645</v>
      </c>
      <c r="N765" s="417">
        <v>147.03</v>
      </c>
      <c r="O765" s="417">
        <v>147.03</v>
      </c>
      <c r="P765" s="417"/>
      <c r="Q765" s="595">
        <f t="shared" si="12"/>
        <v>0</v>
      </c>
    </row>
    <row r="766" spans="1:17" ht="16.5" hidden="1" outlineLevel="1">
      <c r="A766" s="125" t="s">
        <v>785</v>
      </c>
      <c r="B766" s="391" t="s">
        <v>514</v>
      </c>
      <c r="C766" s="391" t="s">
        <v>388</v>
      </c>
      <c r="D766" s="391" t="s">
        <v>382</v>
      </c>
      <c r="E766" s="391"/>
      <c r="F766" s="391"/>
      <c r="G766" s="391"/>
      <c r="H766" s="391"/>
      <c r="I766" s="391"/>
      <c r="J766" s="391"/>
      <c r="K766" s="391"/>
      <c r="L766" s="391" t="s">
        <v>639</v>
      </c>
      <c r="M766" s="391" t="s">
        <v>646</v>
      </c>
      <c r="N766" s="417">
        <v>3.59</v>
      </c>
      <c r="O766" s="417">
        <v>3.59</v>
      </c>
      <c r="P766" s="417"/>
      <c r="Q766" s="595">
        <f t="shared" si="12"/>
        <v>0</v>
      </c>
    </row>
    <row r="767" spans="1:17" ht="16.5" hidden="1" outlineLevel="1">
      <c r="A767" s="125" t="s">
        <v>786</v>
      </c>
      <c r="B767" s="391" t="s">
        <v>514</v>
      </c>
      <c r="C767" s="391" t="s">
        <v>388</v>
      </c>
      <c r="D767" s="391" t="s">
        <v>382</v>
      </c>
      <c r="E767" s="391"/>
      <c r="F767" s="391"/>
      <c r="G767" s="391"/>
      <c r="H767" s="391"/>
      <c r="I767" s="391"/>
      <c r="J767" s="391"/>
      <c r="K767" s="391"/>
      <c r="L767" s="391" t="s">
        <v>639</v>
      </c>
      <c r="M767" s="391" t="s">
        <v>647</v>
      </c>
      <c r="N767" s="417">
        <v>59.63</v>
      </c>
      <c r="O767" s="417">
        <v>59.63</v>
      </c>
      <c r="P767" s="417"/>
      <c r="Q767" s="595">
        <f t="shared" si="12"/>
        <v>0</v>
      </c>
    </row>
    <row r="768" spans="1:17" ht="31.5" hidden="1" outlineLevel="1">
      <c r="A768" s="125" t="s">
        <v>787</v>
      </c>
      <c r="B768" s="391" t="s">
        <v>514</v>
      </c>
      <c r="C768" s="391" t="s">
        <v>388</v>
      </c>
      <c r="D768" s="391" t="s">
        <v>382</v>
      </c>
      <c r="E768" s="391"/>
      <c r="F768" s="391"/>
      <c r="G768" s="391"/>
      <c r="H768" s="391"/>
      <c r="I768" s="391"/>
      <c r="J768" s="391"/>
      <c r="K768" s="391"/>
      <c r="L768" s="391" t="s">
        <v>639</v>
      </c>
      <c r="M768" s="391" t="s">
        <v>648</v>
      </c>
      <c r="N768" s="417">
        <v>189.92</v>
      </c>
      <c r="O768" s="417">
        <v>189.92</v>
      </c>
      <c r="P768" s="417"/>
      <c r="Q768" s="595">
        <f t="shared" si="12"/>
        <v>0</v>
      </c>
    </row>
    <row r="769" spans="1:17" ht="16.5" hidden="1" outlineLevel="1">
      <c r="A769" s="125" t="s">
        <v>510</v>
      </c>
      <c r="B769" s="391" t="s">
        <v>514</v>
      </c>
      <c r="C769" s="391" t="s">
        <v>483</v>
      </c>
      <c r="D769" s="391"/>
      <c r="E769" s="391"/>
      <c r="F769" s="391"/>
      <c r="G769" s="391"/>
      <c r="H769" s="391"/>
      <c r="I769" s="391"/>
      <c r="J769" s="391"/>
      <c r="K769" s="391"/>
      <c r="L769" s="391"/>
      <c r="M769" s="391"/>
      <c r="N769" s="417">
        <v>0</v>
      </c>
      <c r="O769" s="417">
        <v>0</v>
      </c>
      <c r="P769" s="417"/>
      <c r="Q769" s="595" t="e">
        <f t="shared" si="12"/>
        <v>#DIV/0!</v>
      </c>
    </row>
    <row r="770" spans="1:17" ht="16.5" hidden="1" outlineLevel="1">
      <c r="A770" s="125" t="s">
        <v>521</v>
      </c>
      <c r="B770" s="391" t="s">
        <v>514</v>
      </c>
      <c r="C770" s="391" t="s">
        <v>483</v>
      </c>
      <c r="D770" s="391" t="s">
        <v>391</v>
      </c>
      <c r="E770" s="391"/>
      <c r="F770" s="391"/>
      <c r="G770" s="391"/>
      <c r="H770" s="391"/>
      <c r="I770" s="391"/>
      <c r="J770" s="391"/>
      <c r="K770" s="391"/>
      <c r="L770" s="391"/>
      <c r="M770" s="391"/>
      <c r="N770" s="417">
        <v>0</v>
      </c>
      <c r="O770" s="417">
        <v>0</v>
      </c>
      <c r="P770" s="417"/>
      <c r="Q770" s="595" t="e">
        <f t="shared" si="12"/>
        <v>#DIV/0!</v>
      </c>
    </row>
    <row r="771" spans="1:17" ht="63" hidden="1" outlineLevel="1">
      <c r="A771" s="125" t="s">
        <v>842</v>
      </c>
      <c r="B771" s="391" t="s">
        <v>514</v>
      </c>
      <c r="C771" s="391" t="s">
        <v>483</v>
      </c>
      <c r="D771" s="391" t="s">
        <v>391</v>
      </c>
      <c r="E771" s="391" t="s">
        <v>843</v>
      </c>
      <c r="F771" s="391"/>
      <c r="G771" s="391"/>
      <c r="H771" s="391"/>
      <c r="I771" s="391"/>
      <c r="J771" s="391"/>
      <c r="K771" s="391"/>
      <c r="L771" s="391" t="s">
        <v>844</v>
      </c>
      <c r="M771" s="391"/>
      <c r="N771" s="417"/>
      <c r="O771" s="417"/>
      <c r="P771" s="417"/>
      <c r="Q771" s="595" t="e">
        <f t="shared" si="12"/>
        <v>#DIV/0!</v>
      </c>
    </row>
    <row r="772" spans="1:17" ht="63" hidden="1" outlineLevel="1">
      <c r="A772" s="125" t="s">
        <v>842</v>
      </c>
      <c r="B772" s="391" t="s">
        <v>514</v>
      </c>
      <c r="C772" s="391" t="s">
        <v>483</v>
      </c>
      <c r="D772" s="391" t="s">
        <v>391</v>
      </c>
      <c r="E772" s="391" t="s">
        <v>845</v>
      </c>
      <c r="F772" s="391"/>
      <c r="G772" s="391"/>
      <c r="H772" s="391"/>
      <c r="I772" s="391"/>
      <c r="J772" s="391"/>
      <c r="K772" s="391"/>
      <c r="L772" s="391" t="s">
        <v>844</v>
      </c>
      <c r="M772" s="391"/>
      <c r="N772" s="417"/>
      <c r="O772" s="417"/>
      <c r="P772" s="417"/>
      <c r="Q772" s="595" t="e">
        <f t="shared" si="12"/>
        <v>#DIV/0!</v>
      </c>
    </row>
    <row r="773" spans="1:17" s="79" customFormat="1" ht="31.5" outlineLevel="1">
      <c r="A773" s="252" t="s">
        <v>893</v>
      </c>
      <c r="B773" s="362" t="s">
        <v>514</v>
      </c>
      <c r="C773" s="358" t="s">
        <v>388</v>
      </c>
      <c r="D773" s="358" t="s">
        <v>382</v>
      </c>
      <c r="E773" s="358" t="s">
        <v>770</v>
      </c>
      <c r="F773" s="358" t="s">
        <v>478</v>
      </c>
      <c r="G773" s="358" t="s">
        <v>789</v>
      </c>
      <c r="H773" s="358" t="s">
        <v>481</v>
      </c>
      <c r="I773" s="358" t="s">
        <v>770</v>
      </c>
      <c r="J773" s="358" t="s">
        <v>528</v>
      </c>
      <c r="K773" s="358" t="s">
        <v>480</v>
      </c>
      <c r="L773" s="362" t="s">
        <v>369</v>
      </c>
      <c r="M773" s="362"/>
      <c r="N773" s="363">
        <v>10789.05</v>
      </c>
      <c r="O773" s="363">
        <f>9985.75+446.9+518.31</f>
        <v>10950.96</v>
      </c>
      <c r="P773" s="363">
        <f>9812.99+446.9</f>
        <v>10259.89</v>
      </c>
      <c r="Q773" s="595">
        <f t="shared" si="12"/>
        <v>0.9368941170454462</v>
      </c>
    </row>
    <row r="774" spans="1:17" ht="16.5" hidden="1" outlineLevel="1">
      <c r="A774" s="125" t="s">
        <v>774</v>
      </c>
      <c r="B774" s="391" t="s">
        <v>514</v>
      </c>
      <c r="C774" s="72" t="s">
        <v>388</v>
      </c>
      <c r="D774" s="72" t="s">
        <v>382</v>
      </c>
      <c r="E774" s="72"/>
      <c r="F774" s="72"/>
      <c r="G774" s="72"/>
      <c r="H774" s="72"/>
      <c r="I774" s="72"/>
      <c r="J774" s="72"/>
      <c r="K774" s="72"/>
      <c r="L774" s="391" t="s">
        <v>735</v>
      </c>
      <c r="M774" s="391" t="s">
        <v>636</v>
      </c>
      <c r="N774" s="417">
        <v>7688.99</v>
      </c>
      <c r="O774" s="417">
        <v>7688.99</v>
      </c>
      <c r="P774" s="417"/>
      <c r="Q774" s="595">
        <f t="shared" si="12"/>
        <v>0</v>
      </c>
    </row>
    <row r="775" spans="1:17" ht="16.5" hidden="1" outlineLevel="1">
      <c r="A775" s="125" t="s">
        <v>775</v>
      </c>
      <c r="B775" s="391" t="s">
        <v>514</v>
      </c>
      <c r="C775" s="72" t="s">
        <v>388</v>
      </c>
      <c r="D775" s="72" t="s">
        <v>382</v>
      </c>
      <c r="E775" s="72"/>
      <c r="F775" s="72"/>
      <c r="G775" s="72"/>
      <c r="H775" s="72"/>
      <c r="I775" s="72"/>
      <c r="J775" s="72"/>
      <c r="K775" s="72"/>
      <c r="L775" s="391" t="s">
        <v>735</v>
      </c>
      <c r="M775" s="391" t="s">
        <v>637</v>
      </c>
      <c r="N775" s="417">
        <v>2322.07</v>
      </c>
      <c r="O775" s="417">
        <v>2322.07</v>
      </c>
      <c r="P775" s="417"/>
      <c r="Q775" s="595">
        <f t="shared" si="12"/>
        <v>0</v>
      </c>
    </row>
    <row r="776" spans="1:17" ht="16.5" hidden="1" outlineLevel="1">
      <c r="A776" s="125" t="s">
        <v>784</v>
      </c>
      <c r="B776" s="391" t="s">
        <v>514</v>
      </c>
      <c r="C776" s="72" t="s">
        <v>388</v>
      </c>
      <c r="D776" s="72" t="s">
        <v>382</v>
      </c>
      <c r="E776" s="72"/>
      <c r="F776" s="72"/>
      <c r="G776" s="72"/>
      <c r="H776" s="72"/>
      <c r="I776" s="72"/>
      <c r="J776" s="72"/>
      <c r="K776" s="72"/>
      <c r="L776" s="391" t="s">
        <v>639</v>
      </c>
      <c r="M776" s="391" t="s">
        <v>645</v>
      </c>
      <c r="N776" s="417"/>
      <c r="O776" s="417"/>
      <c r="P776" s="417"/>
      <c r="Q776" s="595" t="e">
        <f t="shared" si="12"/>
        <v>#DIV/0!</v>
      </c>
    </row>
    <row r="777" spans="1:17" ht="16.5" hidden="1" outlineLevel="1">
      <c r="A777" s="125" t="s">
        <v>786</v>
      </c>
      <c r="B777" s="391" t="s">
        <v>514</v>
      </c>
      <c r="C777" s="72" t="s">
        <v>388</v>
      </c>
      <c r="D777" s="72" t="s">
        <v>382</v>
      </c>
      <c r="E777" s="72"/>
      <c r="F777" s="72"/>
      <c r="G777" s="72"/>
      <c r="H777" s="72"/>
      <c r="I777" s="72"/>
      <c r="J777" s="72"/>
      <c r="K777" s="72"/>
      <c r="L777" s="391" t="s">
        <v>639</v>
      </c>
      <c r="M777" s="391" t="s">
        <v>647</v>
      </c>
      <c r="N777" s="417">
        <v>33.68</v>
      </c>
      <c r="O777" s="417">
        <v>33.68</v>
      </c>
      <c r="P777" s="417"/>
      <c r="Q777" s="595">
        <f t="shared" si="12"/>
        <v>0</v>
      </c>
    </row>
    <row r="778" spans="1:17" ht="31.5" hidden="1" outlineLevel="1">
      <c r="A778" s="125" t="s">
        <v>787</v>
      </c>
      <c r="B778" s="391" t="s">
        <v>514</v>
      </c>
      <c r="C778" s="72" t="s">
        <v>388</v>
      </c>
      <c r="D778" s="72" t="s">
        <v>382</v>
      </c>
      <c r="E778" s="72"/>
      <c r="F778" s="72"/>
      <c r="G778" s="72"/>
      <c r="H778" s="72"/>
      <c r="I778" s="72"/>
      <c r="J778" s="72"/>
      <c r="K778" s="72"/>
      <c r="L778" s="391" t="s">
        <v>639</v>
      </c>
      <c r="M778" s="391" t="s">
        <v>648</v>
      </c>
      <c r="N778" s="417">
        <v>40</v>
      </c>
      <c r="O778" s="417">
        <v>40</v>
      </c>
      <c r="P778" s="417"/>
      <c r="Q778" s="595">
        <f t="shared" si="12"/>
        <v>0</v>
      </c>
    </row>
    <row r="779" spans="1:17" s="79" customFormat="1" ht="16.5" outlineLevel="1">
      <c r="A779" s="252" t="s">
        <v>854</v>
      </c>
      <c r="B779" s="362" t="s">
        <v>514</v>
      </c>
      <c r="C779" s="358" t="s">
        <v>388</v>
      </c>
      <c r="D779" s="358" t="s">
        <v>382</v>
      </c>
      <c r="E779" s="358" t="s">
        <v>770</v>
      </c>
      <c r="F779" s="358" t="s">
        <v>478</v>
      </c>
      <c r="G779" s="358" t="s">
        <v>789</v>
      </c>
      <c r="H779" s="358" t="s">
        <v>481</v>
      </c>
      <c r="I779" s="358" t="s">
        <v>770</v>
      </c>
      <c r="J779" s="358" t="s">
        <v>478</v>
      </c>
      <c r="K779" s="358" t="s">
        <v>478</v>
      </c>
      <c r="L779" s="362" t="s">
        <v>369</v>
      </c>
      <c r="M779" s="362"/>
      <c r="N779" s="363">
        <v>270.38</v>
      </c>
      <c r="O779" s="363">
        <v>327.59</v>
      </c>
      <c r="P779" s="363">
        <v>327.59</v>
      </c>
      <c r="Q779" s="595">
        <f t="shared" si="12"/>
        <v>1</v>
      </c>
    </row>
    <row r="780" spans="1:17" ht="16.5" hidden="1" outlineLevel="1">
      <c r="A780" s="125" t="s">
        <v>774</v>
      </c>
      <c r="B780" s="391" t="s">
        <v>514</v>
      </c>
      <c r="C780" s="72" t="s">
        <v>388</v>
      </c>
      <c r="D780" s="72" t="s">
        <v>382</v>
      </c>
      <c r="E780" s="72"/>
      <c r="F780" s="72"/>
      <c r="G780" s="72"/>
      <c r="H780" s="72"/>
      <c r="I780" s="72"/>
      <c r="J780" s="72"/>
      <c r="K780" s="72"/>
      <c r="L780" s="391" t="s">
        <v>735</v>
      </c>
      <c r="M780" s="391" t="s">
        <v>636</v>
      </c>
      <c r="N780" s="417">
        <v>948.24</v>
      </c>
      <c r="O780" s="417">
        <v>948.24</v>
      </c>
      <c r="P780" s="417"/>
      <c r="Q780" s="595">
        <f aca="true" t="shared" si="13" ref="Q780:Q843">P780/O780</f>
        <v>0</v>
      </c>
    </row>
    <row r="781" spans="1:17" ht="16.5" hidden="1" outlineLevel="1">
      <c r="A781" s="125" t="s">
        <v>775</v>
      </c>
      <c r="B781" s="391" t="s">
        <v>514</v>
      </c>
      <c r="C781" s="72" t="s">
        <v>388</v>
      </c>
      <c r="D781" s="72" t="s">
        <v>382</v>
      </c>
      <c r="E781" s="72"/>
      <c r="F781" s="72"/>
      <c r="G781" s="72"/>
      <c r="H781" s="72"/>
      <c r="I781" s="72"/>
      <c r="J781" s="72"/>
      <c r="K781" s="72"/>
      <c r="L781" s="391" t="s">
        <v>735</v>
      </c>
      <c r="M781" s="391" t="s">
        <v>637</v>
      </c>
      <c r="N781" s="417">
        <v>286.37</v>
      </c>
      <c r="O781" s="417">
        <v>286.37</v>
      </c>
      <c r="P781" s="417"/>
      <c r="Q781" s="595">
        <f t="shared" si="13"/>
        <v>0</v>
      </c>
    </row>
    <row r="782" spans="1:17" s="79" customFormat="1" ht="31.5" outlineLevel="1">
      <c r="A782" s="252" t="s">
        <v>894</v>
      </c>
      <c r="B782" s="362" t="s">
        <v>514</v>
      </c>
      <c r="C782" s="358" t="s">
        <v>483</v>
      </c>
      <c r="D782" s="358" t="s">
        <v>387</v>
      </c>
      <c r="E782" s="358" t="s">
        <v>770</v>
      </c>
      <c r="F782" s="358" t="s">
        <v>478</v>
      </c>
      <c r="G782" s="358" t="s">
        <v>789</v>
      </c>
      <c r="H782" s="358" t="s">
        <v>481</v>
      </c>
      <c r="I782" s="358" t="s">
        <v>770</v>
      </c>
      <c r="J782" s="358" t="s">
        <v>478</v>
      </c>
      <c r="K782" s="358" t="s">
        <v>480</v>
      </c>
      <c r="L782" s="362" t="s">
        <v>369</v>
      </c>
      <c r="M782" s="362"/>
      <c r="N782" s="363">
        <v>159.47</v>
      </c>
      <c r="O782" s="363">
        <v>249.37</v>
      </c>
      <c r="P782" s="363">
        <v>249.37</v>
      </c>
      <c r="Q782" s="595">
        <f t="shared" si="13"/>
        <v>1</v>
      </c>
    </row>
    <row r="783" spans="1:17" ht="16.5" hidden="1" outlineLevel="1">
      <c r="A783" s="125" t="s">
        <v>784</v>
      </c>
      <c r="B783" s="391" t="s">
        <v>514</v>
      </c>
      <c r="C783" s="72" t="s">
        <v>388</v>
      </c>
      <c r="D783" s="72" t="s">
        <v>382</v>
      </c>
      <c r="E783" s="72"/>
      <c r="F783" s="72"/>
      <c r="G783" s="72"/>
      <c r="H783" s="72"/>
      <c r="I783" s="72"/>
      <c r="J783" s="72"/>
      <c r="K783" s="72"/>
      <c r="L783" s="391" t="s">
        <v>639</v>
      </c>
      <c r="M783" s="391" t="s">
        <v>645</v>
      </c>
      <c r="N783" s="417"/>
      <c r="O783" s="417"/>
      <c r="P783" s="417"/>
      <c r="Q783" s="595" t="e">
        <f t="shared" si="13"/>
        <v>#DIV/0!</v>
      </c>
    </row>
    <row r="784" spans="1:17" ht="16.5" hidden="1" outlineLevel="1">
      <c r="A784" s="125" t="s">
        <v>855</v>
      </c>
      <c r="B784" s="391" t="s">
        <v>514</v>
      </c>
      <c r="C784" s="72" t="s">
        <v>388</v>
      </c>
      <c r="D784" s="72" t="s">
        <v>382</v>
      </c>
      <c r="E784" s="72"/>
      <c r="F784" s="72"/>
      <c r="G784" s="72"/>
      <c r="H784" s="72"/>
      <c r="I784" s="72"/>
      <c r="J784" s="72"/>
      <c r="K784" s="72"/>
      <c r="L784" s="391" t="s">
        <v>733</v>
      </c>
      <c r="M784" s="391" t="s">
        <v>680</v>
      </c>
      <c r="N784" s="417">
        <v>159.47</v>
      </c>
      <c r="O784" s="417">
        <v>159.47</v>
      </c>
      <c r="P784" s="417"/>
      <c r="Q784" s="595">
        <f t="shared" si="13"/>
        <v>0</v>
      </c>
    </row>
    <row r="785" spans="1:17" s="79" customFormat="1" ht="31.5" outlineLevel="1">
      <c r="A785" s="252" t="s">
        <v>856</v>
      </c>
      <c r="B785" s="362" t="s">
        <v>514</v>
      </c>
      <c r="C785" s="358" t="s">
        <v>388</v>
      </c>
      <c r="D785" s="358" t="s">
        <v>382</v>
      </c>
      <c r="E785" s="358" t="s">
        <v>770</v>
      </c>
      <c r="F785" s="358" t="s">
        <v>478</v>
      </c>
      <c r="G785" s="358" t="s">
        <v>789</v>
      </c>
      <c r="H785" s="358" t="s">
        <v>481</v>
      </c>
      <c r="I785" s="358" t="s">
        <v>770</v>
      </c>
      <c r="J785" s="358" t="s">
        <v>478</v>
      </c>
      <c r="K785" s="358" t="s">
        <v>481</v>
      </c>
      <c r="L785" s="362" t="s">
        <v>369</v>
      </c>
      <c r="M785" s="362"/>
      <c r="N785" s="363">
        <v>90.57</v>
      </c>
      <c r="O785" s="363">
        <v>80.77</v>
      </c>
      <c r="P785" s="363">
        <v>80.77</v>
      </c>
      <c r="Q785" s="595">
        <f t="shared" si="13"/>
        <v>1</v>
      </c>
    </row>
    <row r="786" spans="1:17" ht="31.5" hidden="1" outlineLevel="1">
      <c r="A786" s="125" t="s">
        <v>787</v>
      </c>
      <c r="B786" s="391" t="s">
        <v>514</v>
      </c>
      <c r="C786" s="358" t="s">
        <v>388</v>
      </c>
      <c r="D786" s="358" t="s">
        <v>382</v>
      </c>
      <c r="E786" s="358"/>
      <c r="F786" s="358"/>
      <c r="G786" s="358"/>
      <c r="H786" s="358"/>
      <c r="I786" s="358"/>
      <c r="J786" s="358"/>
      <c r="K786" s="358"/>
      <c r="L786" s="391" t="s">
        <v>639</v>
      </c>
      <c r="M786" s="391" t="s">
        <v>648</v>
      </c>
      <c r="N786" s="417">
        <v>90.57</v>
      </c>
      <c r="O786" s="417">
        <v>90.57</v>
      </c>
      <c r="P786" s="417"/>
      <c r="Q786" s="595">
        <f t="shared" si="13"/>
        <v>0</v>
      </c>
    </row>
    <row r="787" spans="1:17" s="79" customFormat="1" ht="31.5" outlineLevel="1">
      <c r="A787" s="252" t="s">
        <v>857</v>
      </c>
      <c r="B787" s="358" t="s">
        <v>514</v>
      </c>
      <c r="C787" s="358" t="s">
        <v>388</v>
      </c>
      <c r="D787" s="358" t="s">
        <v>382</v>
      </c>
      <c r="E787" s="72" t="s">
        <v>770</v>
      </c>
      <c r="F787" s="72" t="s">
        <v>528</v>
      </c>
      <c r="G787" s="72" t="s">
        <v>478</v>
      </c>
      <c r="H787" s="72" t="s">
        <v>770</v>
      </c>
      <c r="I787" s="72" t="s">
        <v>528</v>
      </c>
      <c r="J787" s="72" t="s">
        <v>770</v>
      </c>
      <c r="K787" s="72" t="s">
        <v>479</v>
      </c>
      <c r="L787" s="362" t="s">
        <v>369</v>
      </c>
      <c r="M787" s="362"/>
      <c r="N787" s="363">
        <f>86.36+8.6</f>
        <v>94.96</v>
      </c>
      <c r="O787" s="363">
        <v>462.61</v>
      </c>
      <c r="P787" s="363">
        <v>462.61</v>
      </c>
      <c r="Q787" s="595">
        <f t="shared" si="13"/>
        <v>1</v>
      </c>
    </row>
    <row r="788" spans="1:17" ht="31.5" hidden="1" outlineLevel="1">
      <c r="A788" s="125" t="s">
        <v>787</v>
      </c>
      <c r="B788" s="72" t="s">
        <v>514</v>
      </c>
      <c r="C788" s="72" t="s">
        <v>388</v>
      </c>
      <c r="D788" s="72" t="s">
        <v>382</v>
      </c>
      <c r="E788" s="72"/>
      <c r="F788" s="72"/>
      <c r="G788" s="72"/>
      <c r="H788" s="72"/>
      <c r="I788" s="72"/>
      <c r="J788" s="72"/>
      <c r="K788" s="72"/>
      <c r="L788" s="391" t="s">
        <v>639</v>
      </c>
      <c r="M788" s="391" t="s">
        <v>648</v>
      </c>
      <c r="N788" s="417">
        <v>86.36</v>
      </c>
      <c r="O788" s="417">
        <v>86.36</v>
      </c>
      <c r="P788" s="417"/>
      <c r="Q788" s="595">
        <f t="shared" si="13"/>
        <v>0</v>
      </c>
    </row>
    <row r="789" spans="1:17" s="79" customFormat="1" ht="31.5" outlineLevel="1">
      <c r="A789" s="252" t="s">
        <v>895</v>
      </c>
      <c r="B789" s="358" t="s">
        <v>514</v>
      </c>
      <c r="C789" s="358" t="s">
        <v>388</v>
      </c>
      <c r="D789" s="358" t="s">
        <v>382</v>
      </c>
      <c r="E789" s="72" t="s">
        <v>770</v>
      </c>
      <c r="F789" s="72" t="s">
        <v>528</v>
      </c>
      <c r="G789" s="72" t="s">
        <v>478</v>
      </c>
      <c r="H789" s="72" t="s">
        <v>770</v>
      </c>
      <c r="I789" s="72" t="s">
        <v>528</v>
      </c>
      <c r="J789" s="72" t="s">
        <v>770</v>
      </c>
      <c r="K789" s="72" t="s">
        <v>480</v>
      </c>
      <c r="L789" s="362" t="s">
        <v>369</v>
      </c>
      <c r="M789" s="362"/>
      <c r="N789" s="363">
        <f>502.17+89.22</f>
        <v>591.39</v>
      </c>
      <c r="O789" s="363">
        <f>294.65+378.52</f>
        <v>673.17</v>
      </c>
      <c r="P789" s="363">
        <v>673.17</v>
      </c>
      <c r="Q789" s="595">
        <f t="shared" si="13"/>
        <v>1</v>
      </c>
    </row>
    <row r="790" spans="1:17" ht="16.5" hidden="1" outlineLevel="1">
      <c r="A790" s="125" t="s">
        <v>774</v>
      </c>
      <c r="B790" s="391" t="s">
        <v>514</v>
      </c>
      <c r="C790" s="391" t="s">
        <v>388</v>
      </c>
      <c r="D790" s="391" t="s">
        <v>382</v>
      </c>
      <c r="E790" s="391"/>
      <c r="F790" s="391"/>
      <c r="G790" s="391"/>
      <c r="H790" s="391"/>
      <c r="I790" s="391"/>
      <c r="J790" s="391"/>
      <c r="K790" s="391"/>
      <c r="L790" s="391" t="s">
        <v>639</v>
      </c>
      <c r="M790" s="391" t="s">
        <v>636</v>
      </c>
      <c r="N790" s="417">
        <v>173.71</v>
      </c>
      <c r="O790" s="417">
        <v>173.71</v>
      </c>
      <c r="P790" s="417"/>
      <c r="Q790" s="595">
        <f t="shared" si="13"/>
        <v>0</v>
      </c>
    </row>
    <row r="791" spans="1:17" ht="16.5" hidden="1" outlineLevel="1">
      <c r="A791" s="125" t="s">
        <v>775</v>
      </c>
      <c r="B791" s="391" t="s">
        <v>514</v>
      </c>
      <c r="C791" s="391" t="s">
        <v>388</v>
      </c>
      <c r="D791" s="391" t="s">
        <v>382</v>
      </c>
      <c r="E791" s="391"/>
      <c r="F791" s="391"/>
      <c r="G791" s="391"/>
      <c r="H791" s="391"/>
      <c r="I791" s="391"/>
      <c r="J791" s="391"/>
      <c r="K791" s="391"/>
      <c r="L791" s="391" t="s">
        <v>639</v>
      </c>
      <c r="M791" s="391" t="s">
        <v>637</v>
      </c>
      <c r="N791" s="417">
        <v>52.46</v>
      </c>
      <c r="O791" s="417">
        <v>52.46</v>
      </c>
      <c r="P791" s="417"/>
      <c r="Q791" s="595">
        <f t="shared" si="13"/>
        <v>0</v>
      </c>
    </row>
    <row r="792" spans="1:17" ht="31.5" hidden="1" outlineLevel="1">
      <c r="A792" s="125" t="s">
        <v>787</v>
      </c>
      <c r="B792" s="391" t="s">
        <v>514</v>
      </c>
      <c r="C792" s="391" t="s">
        <v>388</v>
      </c>
      <c r="D792" s="391" t="s">
        <v>382</v>
      </c>
      <c r="E792" s="391"/>
      <c r="F792" s="391"/>
      <c r="G792" s="391"/>
      <c r="H792" s="391"/>
      <c r="I792" s="391"/>
      <c r="J792" s="391"/>
      <c r="K792" s="391"/>
      <c r="L792" s="391" t="s">
        <v>639</v>
      </c>
      <c r="M792" s="391" t="s">
        <v>648</v>
      </c>
      <c r="N792" s="417">
        <v>276</v>
      </c>
      <c r="O792" s="417">
        <v>276</v>
      </c>
      <c r="P792" s="417"/>
      <c r="Q792" s="595">
        <f t="shared" si="13"/>
        <v>0</v>
      </c>
    </row>
    <row r="793" spans="1:17" ht="141.75" outlineLevel="1">
      <c r="A793" s="125" t="s">
        <v>952</v>
      </c>
      <c r="B793" s="391" t="s">
        <v>514</v>
      </c>
      <c r="C793" s="391" t="s">
        <v>388</v>
      </c>
      <c r="D793" s="391" t="s">
        <v>382</v>
      </c>
      <c r="E793" s="391" t="s">
        <v>552</v>
      </c>
      <c r="F793" s="391" t="s">
        <v>552</v>
      </c>
      <c r="G793" s="391" t="s">
        <v>528</v>
      </c>
      <c r="H793" s="391" t="s">
        <v>552</v>
      </c>
      <c r="I793" s="391" t="s">
        <v>770</v>
      </c>
      <c r="J793" s="391" t="s">
        <v>770</v>
      </c>
      <c r="K793" s="391" t="s">
        <v>528</v>
      </c>
      <c r="L793" s="391" t="s">
        <v>778</v>
      </c>
      <c r="M793" s="391"/>
      <c r="N793" s="417">
        <v>0</v>
      </c>
      <c r="O793" s="417">
        <v>30</v>
      </c>
      <c r="P793" s="417">
        <v>30</v>
      </c>
      <c r="Q793" s="595">
        <f t="shared" si="13"/>
        <v>1</v>
      </c>
    </row>
    <row r="794" spans="1:17" ht="30" outlineLevel="1">
      <c r="A794" s="62" t="s">
        <v>864</v>
      </c>
      <c r="B794" s="74" t="s">
        <v>514</v>
      </c>
      <c r="C794" s="74" t="s">
        <v>388</v>
      </c>
      <c r="D794" s="74" t="s">
        <v>388</v>
      </c>
      <c r="E794" s="74" t="s">
        <v>770</v>
      </c>
      <c r="F794" s="74" t="s">
        <v>528</v>
      </c>
      <c r="G794" s="74" t="s">
        <v>479</v>
      </c>
      <c r="H794" s="74" t="s">
        <v>770</v>
      </c>
      <c r="I794" s="74" t="s">
        <v>528</v>
      </c>
      <c r="J794" s="74" t="s">
        <v>770</v>
      </c>
      <c r="K794" s="74" t="s">
        <v>479</v>
      </c>
      <c r="L794" s="74" t="s">
        <v>369</v>
      </c>
      <c r="M794" s="74"/>
      <c r="N794" s="566"/>
      <c r="O794" s="568">
        <f>3.45+57.24</f>
        <v>60.690000000000005</v>
      </c>
      <c r="P794" s="568">
        <f>3.45+57.24</f>
        <v>60.690000000000005</v>
      </c>
      <c r="Q794" s="595">
        <f t="shared" si="13"/>
        <v>1</v>
      </c>
    </row>
    <row r="795" spans="1:17" ht="45" outlineLevel="1">
      <c r="A795" s="51" t="s">
        <v>866</v>
      </c>
      <c r="B795" s="73" t="s">
        <v>514</v>
      </c>
      <c r="C795" s="73" t="s">
        <v>388</v>
      </c>
      <c r="D795" s="73" t="s">
        <v>385</v>
      </c>
      <c r="E795" s="391" t="s">
        <v>770</v>
      </c>
      <c r="F795" s="391" t="s">
        <v>528</v>
      </c>
      <c r="G795" s="391" t="s">
        <v>546</v>
      </c>
      <c r="H795" s="391" t="s">
        <v>770</v>
      </c>
      <c r="I795" s="391" t="s">
        <v>528</v>
      </c>
      <c r="J795" s="391" t="s">
        <v>770</v>
      </c>
      <c r="K795" s="391" t="s">
        <v>546</v>
      </c>
      <c r="L795" s="73" t="s">
        <v>778</v>
      </c>
      <c r="M795" s="73"/>
      <c r="N795" s="371"/>
      <c r="O795" s="569">
        <v>10</v>
      </c>
      <c r="P795" s="569">
        <v>10</v>
      </c>
      <c r="Q795" s="595">
        <f t="shared" si="13"/>
        <v>1</v>
      </c>
    </row>
    <row r="796" spans="1:17" ht="16.5" outlineLevel="1">
      <c r="A796" s="51"/>
      <c r="B796" s="73" t="s">
        <v>514</v>
      </c>
      <c r="C796" s="73" t="s">
        <v>391</v>
      </c>
      <c r="D796" s="73" t="s">
        <v>385</v>
      </c>
      <c r="E796" s="391" t="s">
        <v>770</v>
      </c>
      <c r="F796" s="391" t="s">
        <v>546</v>
      </c>
      <c r="G796" s="391" t="s">
        <v>479</v>
      </c>
      <c r="H796" s="391" t="s">
        <v>770</v>
      </c>
      <c r="I796" s="391" t="s">
        <v>546</v>
      </c>
      <c r="J796" s="391" t="s">
        <v>770</v>
      </c>
      <c r="K796" s="391" t="s">
        <v>479</v>
      </c>
      <c r="L796" s="73" t="s">
        <v>778</v>
      </c>
      <c r="M796" s="73"/>
      <c r="N796" s="371"/>
      <c r="O796" s="569">
        <v>2</v>
      </c>
      <c r="P796" s="569">
        <v>2</v>
      </c>
      <c r="Q796" s="595">
        <f t="shared" si="13"/>
        <v>1</v>
      </c>
    </row>
    <row r="797" spans="1:17" s="397" customFormat="1" ht="36" customHeight="1" outlineLevel="1">
      <c r="A797" s="418" t="s">
        <v>902</v>
      </c>
      <c r="B797" s="419" t="s">
        <v>514</v>
      </c>
      <c r="C797" s="419"/>
      <c r="D797" s="419"/>
      <c r="E797" s="419"/>
      <c r="F797" s="419"/>
      <c r="G797" s="419"/>
      <c r="H797" s="419"/>
      <c r="I797" s="419"/>
      <c r="J797" s="419"/>
      <c r="K797" s="419"/>
      <c r="L797" s="419"/>
      <c r="M797" s="419"/>
      <c r="N797" s="420">
        <f>N801+N805+N819+N825+N828+N831+N833+N835</f>
        <v>4738.4400000000005</v>
      </c>
      <c r="O797" s="420">
        <f>O801+O805+O819+O825+O828+O831+O833+O835+O839</f>
        <v>4791.69</v>
      </c>
      <c r="P797" s="420">
        <f>P801+P805+P819+P825+P828+P831+P833+P835+P839</f>
        <v>4618.93</v>
      </c>
      <c r="Q797" s="595">
        <f t="shared" si="13"/>
        <v>0.9639459146981546</v>
      </c>
    </row>
    <row r="798" spans="1:17" ht="16.5" outlineLevel="1">
      <c r="A798" s="125" t="s">
        <v>509</v>
      </c>
      <c r="B798" s="391" t="s">
        <v>514</v>
      </c>
      <c r="C798" s="391" t="s">
        <v>388</v>
      </c>
      <c r="D798" s="391"/>
      <c r="E798" s="391"/>
      <c r="F798" s="391"/>
      <c r="G798" s="391"/>
      <c r="H798" s="391"/>
      <c r="I798" s="391"/>
      <c r="J798" s="391"/>
      <c r="K798" s="391"/>
      <c r="L798" s="391"/>
      <c r="M798" s="391"/>
      <c r="N798" s="417">
        <v>4678.6</v>
      </c>
      <c r="O798" s="417">
        <f>O799</f>
        <v>4791.69</v>
      </c>
      <c r="P798" s="417">
        <f>P799</f>
        <v>4618.93</v>
      </c>
      <c r="Q798" s="595">
        <f t="shared" si="13"/>
        <v>0.9639459146981546</v>
      </c>
    </row>
    <row r="799" spans="1:17" ht="16.5" outlineLevel="1">
      <c r="A799" s="125" t="s">
        <v>512</v>
      </c>
      <c r="B799" s="391" t="s">
        <v>514</v>
      </c>
      <c r="C799" s="391" t="s">
        <v>388</v>
      </c>
      <c r="D799" s="391" t="s">
        <v>382</v>
      </c>
      <c r="E799" s="391"/>
      <c r="F799" s="391"/>
      <c r="G799" s="391"/>
      <c r="H799" s="391"/>
      <c r="I799" s="391"/>
      <c r="J799" s="391"/>
      <c r="K799" s="391"/>
      <c r="L799" s="391"/>
      <c r="M799" s="391"/>
      <c r="N799" s="417">
        <v>4678.6</v>
      </c>
      <c r="O799" s="417">
        <f>O800+O819+O825+O831+O833+O839</f>
        <v>4791.69</v>
      </c>
      <c r="P799" s="417">
        <f>P800+P819+P825+P831+P833+P839</f>
        <v>4618.93</v>
      </c>
      <c r="Q799" s="595">
        <f t="shared" si="13"/>
        <v>0.9639459146981546</v>
      </c>
    </row>
    <row r="800" spans="1:17" ht="47.25" outlineLevel="1">
      <c r="A800" s="125" t="s">
        <v>892</v>
      </c>
      <c r="B800" s="391" t="s">
        <v>514</v>
      </c>
      <c r="C800" s="391" t="s">
        <v>388</v>
      </c>
      <c r="D800" s="391" t="s">
        <v>382</v>
      </c>
      <c r="E800" s="391" t="s">
        <v>770</v>
      </c>
      <c r="F800" s="391" t="s">
        <v>528</v>
      </c>
      <c r="G800" s="391"/>
      <c r="H800" s="391"/>
      <c r="I800" s="391"/>
      <c r="J800" s="391"/>
      <c r="K800" s="391"/>
      <c r="L800" s="391" t="s">
        <v>369</v>
      </c>
      <c r="M800" s="391"/>
      <c r="N800" s="417">
        <v>309.95</v>
      </c>
      <c r="O800" s="417">
        <f>O801+O805</f>
        <v>488.90999999999997</v>
      </c>
      <c r="P800" s="417">
        <f>P801+P805</f>
        <v>488.90999999999997</v>
      </c>
      <c r="Q800" s="595">
        <f t="shared" si="13"/>
        <v>1</v>
      </c>
    </row>
    <row r="801" spans="1:17" ht="31.5" outlineLevel="1">
      <c r="A801" s="125" t="s">
        <v>850</v>
      </c>
      <c r="B801" s="391" t="s">
        <v>514</v>
      </c>
      <c r="C801" s="391" t="s">
        <v>388</v>
      </c>
      <c r="D801" s="391" t="s">
        <v>382</v>
      </c>
      <c r="E801" s="391" t="s">
        <v>770</v>
      </c>
      <c r="F801" s="391" t="s">
        <v>528</v>
      </c>
      <c r="G801" s="391" t="s">
        <v>478</v>
      </c>
      <c r="H801" s="391" t="s">
        <v>770</v>
      </c>
      <c r="I801" s="391" t="s">
        <v>528</v>
      </c>
      <c r="J801" s="391" t="s">
        <v>770</v>
      </c>
      <c r="K801" s="391" t="s">
        <v>528</v>
      </c>
      <c r="L801" s="391" t="s">
        <v>773</v>
      </c>
      <c r="M801" s="391"/>
      <c r="N801" s="417">
        <v>286.06</v>
      </c>
      <c r="O801" s="417">
        <v>274.08</v>
      </c>
      <c r="P801" s="417">
        <v>274.08</v>
      </c>
      <c r="Q801" s="595">
        <f t="shared" si="13"/>
        <v>1</v>
      </c>
    </row>
    <row r="802" spans="1:17" ht="16.5" hidden="1" outlineLevel="1">
      <c r="A802" s="125" t="s">
        <v>774</v>
      </c>
      <c r="B802" s="391" t="s">
        <v>514</v>
      </c>
      <c r="C802" s="391" t="s">
        <v>388</v>
      </c>
      <c r="D802" s="391" t="s">
        <v>382</v>
      </c>
      <c r="E802" s="391"/>
      <c r="F802" s="391"/>
      <c r="G802" s="391"/>
      <c r="H802" s="391"/>
      <c r="I802" s="391"/>
      <c r="J802" s="391"/>
      <c r="K802" s="391"/>
      <c r="L802" s="391" t="s">
        <v>735</v>
      </c>
      <c r="M802" s="391" t="s">
        <v>636</v>
      </c>
      <c r="N802" s="417"/>
      <c r="O802" s="417"/>
      <c r="P802" s="417"/>
      <c r="Q802" s="595" t="e">
        <f t="shared" si="13"/>
        <v>#DIV/0!</v>
      </c>
    </row>
    <row r="803" spans="1:17" ht="16.5" hidden="1" outlineLevel="1">
      <c r="A803" s="125" t="s">
        <v>776</v>
      </c>
      <c r="B803" s="391" t="s">
        <v>514</v>
      </c>
      <c r="C803" s="391" t="s">
        <v>388</v>
      </c>
      <c r="D803" s="391" t="s">
        <v>382</v>
      </c>
      <c r="E803" s="391"/>
      <c r="F803" s="391"/>
      <c r="G803" s="391"/>
      <c r="H803" s="391"/>
      <c r="I803" s="391"/>
      <c r="J803" s="391"/>
      <c r="K803" s="391"/>
      <c r="L803" s="391" t="s">
        <v>676</v>
      </c>
      <c r="M803" s="391" t="s">
        <v>660</v>
      </c>
      <c r="N803" s="417">
        <v>3.7</v>
      </c>
      <c r="O803" s="417">
        <v>3.7</v>
      </c>
      <c r="P803" s="417"/>
      <c r="Q803" s="595">
        <f t="shared" si="13"/>
        <v>0</v>
      </c>
    </row>
    <row r="804" spans="1:17" ht="16.5" hidden="1" outlineLevel="1">
      <c r="A804" s="125" t="s">
        <v>775</v>
      </c>
      <c r="B804" s="391" t="s">
        <v>514</v>
      </c>
      <c r="C804" s="391" t="s">
        <v>388</v>
      </c>
      <c r="D804" s="391" t="s">
        <v>382</v>
      </c>
      <c r="E804" s="391"/>
      <c r="F804" s="391"/>
      <c r="G804" s="391"/>
      <c r="H804" s="391"/>
      <c r="I804" s="391"/>
      <c r="J804" s="391"/>
      <c r="K804" s="391"/>
      <c r="L804" s="391" t="s">
        <v>735</v>
      </c>
      <c r="M804" s="391" t="s">
        <v>637</v>
      </c>
      <c r="N804" s="417"/>
      <c r="O804" s="417"/>
      <c r="P804" s="417"/>
      <c r="Q804" s="595" t="e">
        <f t="shared" si="13"/>
        <v>#DIV/0!</v>
      </c>
    </row>
    <row r="805" spans="1:17" ht="31.5" outlineLevel="1">
      <c r="A805" s="125" t="s">
        <v>777</v>
      </c>
      <c r="B805" s="391" t="s">
        <v>514</v>
      </c>
      <c r="C805" s="391" t="s">
        <v>388</v>
      </c>
      <c r="D805" s="391" t="s">
        <v>382</v>
      </c>
      <c r="E805" s="391" t="s">
        <v>770</v>
      </c>
      <c r="F805" s="391" t="s">
        <v>528</v>
      </c>
      <c r="G805" s="391" t="s">
        <v>478</v>
      </c>
      <c r="H805" s="391" t="s">
        <v>770</v>
      </c>
      <c r="I805" s="391" t="s">
        <v>528</v>
      </c>
      <c r="J805" s="391" t="s">
        <v>770</v>
      </c>
      <c r="K805" s="391" t="s">
        <v>478</v>
      </c>
      <c r="L805" s="391" t="s">
        <v>778</v>
      </c>
      <c r="M805" s="391"/>
      <c r="N805" s="417">
        <v>306.25</v>
      </c>
      <c r="O805" s="417">
        <v>214.83</v>
      </c>
      <c r="P805" s="417">
        <v>214.83</v>
      </c>
      <c r="Q805" s="595">
        <f t="shared" si="13"/>
        <v>1</v>
      </c>
    </row>
    <row r="806" spans="1:17" ht="16.5" hidden="1" outlineLevel="1">
      <c r="A806" s="125" t="s">
        <v>779</v>
      </c>
      <c r="B806" s="391" t="s">
        <v>514</v>
      </c>
      <c r="C806" s="391" t="s">
        <v>388</v>
      </c>
      <c r="D806" s="391" t="s">
        <v>382</v>
      </c>
      <c r="E806" s="391"/>
      <c r="F806" s="391"/>
      <c r="G806" s="391"/>
      <c r="H806" s="391"/>
      <c r="I806" s="391"/>
      <c r="J806" s="391"/>
      <c r="K806" s="391"/>
      <c r="L806" s="391" t="s">
        <v>639</v>
      </c>
      <c r="M806" s="391" t="s">
        <v>640</v>
      </c>
      <c r="N806" s="417">
        <v>4.5</v>
      </c>
      <c r="O806" s="417">
        <v>4.5</v>
      </c>
      <c r="P806" s="417"/>
      <c r="Q806" s="595">
        <f t="shared" si="13"/>
        <v>0</v>
      </c>
    </row>
    <row r="807" spans="1:17" ht="16.5" hidden="1" outlineLevel="1">
      <c r="A807" s="125" t="s">
        <v>780</v>
      </c>
      <c r="B807" s="391" t="s">
        <v>514</v>
      </c>
      <c r="C807" s="391" t="s">
        <v>388</v>
      </c>
      <c r="D807" s="391" t="s">
        <v>382</v>
      </c>
      <c r="E807" s="391"/>
      <c r="F807" s="391"/>
      <c r="G807" s="391"/>
      <c r="H807" s="391"/>
      <c r="I807" s="391"/>
      <c r="J807" s="391"/>
      <c r="K807" s="391"/>
      <c r="L807" s="391" t="s">
        <v>639</v>
      </c>
      <c r="M807" s="391" t="s">
        <v>641</v>
      </c>
      <c r="N807" s="417"/>
      <c r="O807" s="417"/>
      <c r="P807" s="417"/>
      <c r="Q807" s="595" t="e">
        <f t="shared" si="13"/>
        <v>#DIV/0!</v>
      </c>
    </row>
    <row r="808" spans="1:17" ht="16.5" hidden="1" outlineLevel="1">
      <c r="A808" s="125" t="s">
        <v>781</v>
      </c>
      <c r="B808" s="391" t="s">
        <v>514</v>
      </c>
      <c r="C808" s="391" t="s">
        <v>388</v>
      </c>
      <c r="D808" s="391" t="s">
        <v>382</v>
      </c>
      <c r="E808" s="391"/>
      <c r="F808" s="391"/>
      <c r="G808" s="391"/>
      <c r="H808" s="391"/>
      <c r="I808" s="391"/>
      <c r="J808" s="391"/>
      <c r="K808" s="391"/>
      <c r="L808" s="391" t="s">
        <v>639</v>
      </c>
      <c r="M808" s="391" t="s">
        <v>642</v>
      </c>
      <c r="N808" s="417">
        <v>158.76</v>
      </c>
      <c r="O808" s="417">
        <v>158.76</v>
      </c>
      <c r="P808" s="417"/>
      <c r="Q808" s="595">
        <f t="shared" si="13"/>
        <v>0</v>
      </c>
    </row>
    <row r="809" spans="1:17" ht="16.5" hidden="1" outlineLevel="1">
      <c r="A809" s="125" t="s">
        <v>782</v>
      </c>
      <c r="B809" s="391" t="s">
        <v>514</v>
      </c>
      <c r="C809" s="391" t="s">
        <v>388</v>
      </c>
      <c r="D809" s="391" t="s">
        <v>382</v>
      </c>
      <c r="E809" s="391"/>
      <c r="F809" s="391"/>
      <c r="G809" s="391"/>
      <c r="H809" s="391"/>
      <c r="I809" s="391"/>
      <c r="J809" s="391"/>
      <c r="K809" s="391"/>
      <c r="L809" s="391" t="s">
        <v>639</v>
      </c>
      <c r="M809" s="391" t="s">
        <v>643</v>
      </c>
      <c r="N809" s="417"/>
      <c r="O809" s="417"/>
      <c r="P809" s="417"/>
      <c r="Q809" s="595" t="e">
        <f t="shared" si="13"/>
        <v>#DIV/0!</v>
      </c>
    </row>
    <row r="810" spans="1:17" ht="16.5" hidden="1" outlineLevel="1">
      <c r="A810" s="125" t="s">
        <v>783</v>
      </c>
      <c r="B810" s="391" t="s">
        <v>514</v>
      </c>
      <c r="C810" s="391" t="s">
        <v>388</v>
      </c>
      <c r="D810" s="391" t="s">
        <v>382</v>
      </c>
      <c r="E810" s="391"/>
      <c r="F810" s="391"/>
      <c r="G810" s="391"/>
      <c r="H810" s="391"/>
      <c r="I810" s="391"/>
      <c r="J810" s="391"/>
      <c r="K810" s="391"/>
      <c r="L810" s="391" t="s">
        <v>639</v>
      </c>
      <c r="M810" s="391" t="s">
        <v>644</v>
      </c>
      <c r="N810" s="417">
        <v>34.98</v>
      </c>
      <c r="O810" s="417">
        <v>34.98</v>
      </c>
      <c r="P810" s="417"/>
      <c r="Q810" s="595">
        <f t="shared" si="13"/>
        <v>0</v>
      </c>
    </row>
    <row r="811" spans="1:17" ht="16.5" hidden="1" outlineLevel="1">
      <c r="A811" s="125" t="s">
        <v>784</v>
      </c>
      <c r="B811" s="391" t="s">
        <v>514</v>
      </c>
      <c r="C811" s="391" t="s">
        <v>388</v>
      </c>
      <c r="D811" s="391" t="s">
        <v>382</v>
      </c>
      <c r="E811" s="391"/>
      <c r="F811" s="391"/>
      <c r="G811" s="391"/>
      <c r="H811" s="391"/>
      <c r="I811" s="391"/>
      <c r="J811" s="391"/>
      <c r="K811" s="391"/>
      <c r="L811" s="391" t="s">
        <v>639</v>
      </c>
      <c r="M811" s="391" t="s">
        <v>645</v>
      </c>
      <c r="N811" s="417">
        <v>60.21</v>
      </c>
      <c r="O811" s="417">
        <v>60.21</v>
      </c>
      <c r="P811" s="417"/>
      <c r="Q811" s="595">
        <f t="shared" si="13"/>
        <v>0</v>
      </c>
    </row>
    <row r="812" spans="1:17" ht="16.5" hidden="1" outlineLevel="1">
      <c r="A812" s="125" t="s">
        <v>785</v>
      </c>
      <c r="B812" s="391" t="s">
        <v>514</v>
      </c>
      <c r="C812" s="391" t="s">
        <v>388</v>
      </c>
      <c r="D812" s="391" t="s">
        <v>382</v>
      </c>
      <c r="E812" s="391"/>
      <c r="F812" s="391"/>
      <c r="G812" s="391"/>
      <c r="H812" s="391"/>
      <c r="I812" s="391"/>
      <c r="J812" s="391"/>
      <c r="K812" s="391"/>
      <c r="L812" s="391" t="s">
        <v>639</v>
      </c>
      <c r="M812" s="391" t="s">
        <v>646</v>
      </c>
      <c r="N812" s="417">
        <v>44.3</v>
      </c>
      <c r="O812" s="417">
        <v>44.3</v>
      </c>
      <c r="P812" s="417"/>
      <c r="Q812" s="595">
        <f t="shared" si="13"/>
        <v>0</v>
      </c>
    </row>
    <row r="813" spans="1:17" ht="16.5" hidden="1" outlineLevel="1">
      <c r="A813" s="125" t="s">
        <v>786</v>
      </c>
      <c r="B813" s="391" t="s">
        <v>514</v>
      </c>
      <c r="C813" s="391" t="s">
        <v>388</v>
      </c>
      <c r="D813" s="391" t="s">
        <v>382</v>
      </c>
      <c r="E813" s="391"/>
      <c r="F813" s="391"/>
      <c r="G813" s="391"/>
      <c r="H813" s="391"/>
      <c r="I813" s="391"/>
      <c r="J813" s="391"/>
      <c r="K813" s="391"/>
      <c r="L813" s="391" t="s">
        <v>639</v>
      </c>
      <c r="M813" s="391" t="s">
        <v>647</v>
      </c>
      <c r="N813" s="417"/>
      <c r="O813" s="417"/>
      <c r="P813" s="417"/>
      <c r="Q813" s="595" t="e">
        <f t="shared" si="13"/>
        <v>#DIV/0!</v>
      </c>
    </row>
    <row r="814" spans="1:17" ht="31.5" hidden="1" outlineLevel="1">
      <c r="A814" s="125" t="s">
        <v>787</v>
      </c>
      <c r="B814" s="391" t="s">
        <v>514</v>
      </c>
      <c r="C814" s="391" t="s">
        <v>388</v>
      </c>
      <c r="D814" s="391" t="s">
        <v>382</v>
      </c>
      <c r="E814" s="391"/>
      <c r="F814" s="391"/>
      <c r="G814" s="391"/>
      <c r="H814" s="391"/>
      <c r="I814" s="391"/>
      <c r="J814" s="391"/>
      <c r="K814" s="391"/>
      <c r="L814" s="391" t="s">
        <v>639</v>
      </c>
      <c r="M814" s="391" t="s">
        <v>648</v>
      </c>
      <c r="N814" s="417">
        <v>3.5</v>
      </c>
      <c r="O814" s="417">
        <v>3.5</v>
      </c>
      <c r="P814" s="417"/>
      <c r="Q814" s="595">
        <f t="shared" si="13"/>
        <v>0</v>
      </c>
    </row>
    <row r="815" spans="1:17" ht="16.5" hidden="1" outlineLevel="1">
      <c r="A815" s="125" t="s">
        <v>510</v>
      </c>
      <c r="B815" s="391" t="s">
        <v>514</v>
      </c>
      <c r="C815" s="391" t="s">
        <v>483</v>
      </c>
      <c r="D815" s="391"/>
      <c r="E815" s="391"/>
      <c r="F815" s="391"/>
      <c r="G815" s="391"/>
      <c r="H815" s="391"/>
      <c r="I815" s="391"/>
      <c r="J815" s="391"/>
      <c r="K815" s="391"/>
      <c r="L815" s="391"/>
      <c r="M815" s="391"/>
      <c r="N815" s="417">
        <v>0</v>
      </c>
      <c r="O815" s="417">
        <v>0</v>
      </c>
      <c r="P815" s="417"/>
      <c r="Q815" s="595" t="e">
        <f t="shared" si="13"/>
        <v>#DIV/0!</v>
      </c>
    </row>
    <row r="816" spans="1:17" ht="16.5" hidden="1" outlineLevel="1">
      <c r="A816" s="125" t="s">
        <v>521</v>
      </c>
      <c r="B816" s="391" t="s">
        <v>514</v>
      </c>
      <c r="C816" s="391" t="s">
        <v>483</v>
      </c>
      <c r="D816" s="391" t="s">
        <v>391</v>
      </c>
      <c r="E816" s="391"/>
      <c r="F816" s="391"/>
      <c r="G816" s="391"/>
      <c r="H816" s="391"/>
      <c r="I816" s="391"/>
      <c r="J816" s="391"/>
      <c r="K816" s="391"/>
      <c r="L816" s="391"/>
      <c r="M816" s="391"/>
      <c r="N816" s="417">
        <v>0</v>
      </c>
      <c r="O816" s="417">
        <v>0</v>
      </c>
      <c r="P816" s="417"/>
      <c r="Q816" s="595" t="e">
        <f t="shared" si="13"/>
        <v>#DIV/0!</v>
      </c>
    </row>
    <row r="817" spans="1:17" ht="63" hidden="1" outlineLevel="1">
      <c r="A817" s="125" t="s">
        <v>842</v>
      </c>
      <c r="B817" s="391" t="s">
        <v>514</v>
      </c>
      <c r="C817" s="391" t="s">
        <v>483</v>
      </c>
      <c r="D817" s="391" t="s">
        <v>391</v>
      </c>
      <c r="E817" s="391" t="s">
        <v>843</v>
      </c>
      <c r="F817" s="391"/>
      <c r="G817" s="391"/>
      <c r="H817" s="391"/>
      <c r="I817" s="391"/>
      <c r="J817" s="391"/>
      <c r="K817" s="391"/>
      <c r="L817" s="391" t="s">
        <v>844</v>
      </c>
      <c r="M817" s="391"/>
      <c r="N817" s="417"/>
      <c r="O817" s="417"/>
      <c r="P817" s="417"/>
      <c r="Q817" s="595" t="e">
        <f t="shared" si="13"/>
        <v>#DIV/0!</v>
      </c>
    </row>
    <row r="818" spans="1:17" ht="63" hidden="1" outlineLevel="1">
      <c r="A818" s="125" t="s">
        <v>842</v>
      </c>
      <c r="B818" s="391" t="s">
        <v>514</v>
      </c>
      <c r="C818" s="391" t="s">
        <v>483</v>
      </c>
      <c r="D818" s="391" t="s">
        <v>391</v>
      </c>
      <c r="E818" s="391" t="s">
        <v>845</v>
      </c>
      <c r="F818" s="391"/>
      <c r="G818" s="391"/>
      <c r="H818" s="391"/>
      <c r="I818" s="391"/>
      <c r="J818" s="391"/>
      <c r="K818" s="391"/>
      <c r="L818" s="391" t="s">
        <v>844</v>
      </c>
      <c r="M818" s="391"/>
      <c r="N818" s="417"/>
      <c r="O818" s="417"/>
      <c r="P818" s="417"/>
      <c r="Q818" s="595" t="e">
        <f t="shared" si="13"/>
        <v>#DIV/0!</v>
      </c>
    </row>
    <row r="819" spans="1:17" s="79" customFormat="1" ht="31.5" outlineLevel="1">
      <c r="A819" s="252" t="s">
        <v>893</v>
      </c>
      <c r="B819" s="362" t="s">
        <v>514</v>
      </c>
      <c r="C819" s="358" t="s">
        <v>388</v>
      </c>
      <c r="D819" s="358" t="s">
        <v>382</v>
      </c>
      <c r="E819" s="358" t="s">
        <v>770</v>
      </c>
      <c r="F819" s="358" t="s">
        <v>478</v>
      </c>
      <c r="G819" s="358" t="s">
        <v>789</v>
      </c>
      <c r="H819" s="358" t="s">
        <v>481</v>
      </c>
      <c r="I819" s="358" t="s">
        <v>770</v>
      </c>
      <c r="J819" s="358" t="s">
        <v>528</v>
      </c>
      <c r="K819" s="358" t="s">
        <v>480</v>
      </c>
      <c r="L819" s="362" t="s">
        <v>369</v>
      </c>
      <c r="M819" s="362"/>
      <c r="N819" s="363">
        <v>3970.29</v>
      </c>
      <c r="O819" s="363">
        <f>3857.58+252.67</f>
        <v>4110.25</v>
      </c>
      <c r="P819" s="363">
        <f>3684.82+252.67</f>
        <v>3937.4900000000002</v>
      </c>
      <c r="Q819" s="595">
        <f t="shared" si="13"/>
        <v>0.9579684934006448</v>
      </c>
    </row>
    <row r="820" spans="1:17" ht="16.5" hidden="1" outlineLevel="1">
      <c r="A820" s="125" t="s">
        <v>774</v>
      </c>
      <c r="B820" s="391" t="s">
        <v>514</v>
      </c>
      <c r="C820" s="72" t="s">
        <v>388</v>
      </c>
      <c r="D820" s="72" t="s">
        <v>382</v>
      </c>
      <c r="E820" s="72"/>
      <c r="F820" s="72"/>
      <c r="G820" s="72"/>
      <c r="H820" s="72"/>
      <c r="I820" s="72"/>
      <c r="J820" s="72"/>
      <c r="K820" s="72"/>
      <c r="L820" s="391" t="s">
        <v>735</v>
      </c>
      <c r="M820" s="391" t="s">
        <v>636</v>
      </c>
      <c r="N820" s="417">
        <v>2913.17</v>
      </c>
      <c r="O820" s="417">
        <v>2913.17</v>
      </c>
      <c r="P820" s="417"/>
      <c r="Q820" s="595">
        <f t="shared" si="13"/>
        <v>0</v>
      </c>
    </row>
    <row r="821" spans="1:17" ht="16.5" hidden="1" outlineLevel="1">
      <c r="A821" s="125" t="s">
        <v>775</v>
      </c>
      <c r="B821" s="391" t="s">
        <v>514</v>
      </c>
      <c r="C821" s="72" t="s">
        <v>388</v>
      </c>
      <c r="D821" s="72" t="s">
        <v>382</v>
      </c>
      <c r="E821" s="72"/>
      <c r="F821" s="72"/>
      <c r="G821" s="72"/>
      <c r="H821" s="72"/>
      <c r="I821" s="72"/>
      <c r="J821" s="72"/>
      <c r="K821" s="72"/>
      <c r="L821" s="391" t="s">
        <v>735</v>
      </c>
      <c r="M821" s="391" t="s">
        <v>637</v>
      </c>
      <c r="N821" s="417">
        <v>879.78</v>
      </c>
      <c r="O821" s="417">
        <v>879.78</v>
      </c>
      <c r="P821" s="417"/>
      <c r="Q821" s="595">
        <f t="shared" si="13"/>
        <v>0</v>
      </c>
    </row>
    <row r="822" spans="1:17" ht="16.5" hidden="1" outlineLevel="1">
      <c r="A822" s="125" t="s">
        <v>784</v>
      </c>
      <c r="B822" s="391" t="s">
        <v>514</v>
      </c>
      <c r="C822" s="72" t="s">
        <v>388</v>
      </c>
      <c r="D822" s="72" t="s">
        <v>382</v>
      </c>
      <c r="E822" s="72"/>
      <c r="F822" s="72"/>
      <c r="G822" s="72"/>
      <c r="H822" s="72"/>
      <c r="I822" s="72"/>
      <c r="J822" s="72"/>
      <c r="K822" s="72"/>
      <c r="L822" s="391" t="s">
        <v>639</v>
      </c>
      <c r="M822" s="391" t="s">
        <v>645</v>
      </c>
      <c r="N822" s="417"/>
      <c r="O822" s="417"/>
      <c r="P822" s="417"/>
      <c r="Q822" s="595" t="e">
        <f t="shared" si="13"/>
        <v>#DIV/0!</v>
      </c>
    </row>
    <row r="823" spans="1:17" ht="16.5" hidden="1" outlineLevel="1">
      <c r="A823" s="125" t="s">
        <v>786</v>
      </c>
      <c r="B823" s="391" t="s">
        <v>514</v>
      </c>
      <c r="C823" s="72" t="s">
        <v>388</v>
      </c>
      <c r="D823" s="72" t="s">
        <v>382</v>
      </c>
      <c r="E823" s="72"/>
      <c r="F823" s="72"/>
      <c r="G823" s="72"/>
      <c r="H823" s="72"/>
      <c r="I823" s="72"/>
      <c r="J823" s="72"/>
      <c r="K823" s="72"/>
      <c r="L823" s="391" t="s">
        <v>639</v>
      </c>
      <c r="M823" s="391" t="s">
        <v>647</v>
      </c>
      <c r="N823" s="417">
        <v>10</v>
      </c>
      <c r="O823" s="417">
        <v>10</v>
      </c>
      <c r="P823" s="417"/>
      <c r="Q823" s="595">
        <f t="shared" si="13"/>
        <v>0</v>
      </c>
    </row>
    <row r="824" spans="1:17" ht="31.5" hidden="1" outlineLevel="1">
      <c r="A824" s="125" t="s">
        <v>787</v>
      </c>
      <c r="B824" s="391" t="s">
        <v>514</v>
      </c>
      <c r="C824" s="72" t="s">
        <v>388</v>
      </c>
      <c r="D824" s="72" t="s">
        <v>382</v>
      </c>
      <c r="E824" s="72"/>
      <c r="F824" s="72"/>
      <c r="G824" s="72"/>
      <c r="H824" s="72"/>
      <c r="I824" s="72"/>
      <c r="J824" s="72"/>
      <c r="K824" s="72"/>
      <c r="L824" s="391" t="s">
        <v>639</v>
      </c>
      <c r="M824" s="391" t="s">
        <v>648</v>
      </c>
      <c r="N824" s="417">
        <v>12.51</v>
      </c>
      <c r="O824" s="417">
        <v>12.51</v>
      </c>
      <c r="P824" s="417"/>
      <c r="Q824" s="595">
        <f t="shared" si="13"/>
        <v>0</v>
      </c>
    </row>
    <row r="825" spans="1:17" s="79" customFormat="1" ht="16.5" outlineLevel="1">
      <c r="A825" s="252" t="s">
        <v>854</v>
      </c>
      <c r="B825" s="362" t="s">
        <v>514</v>
      </c>
      <c r="C825" s="358" t="s">
        <v>388</v>
      </c>
      <c r="D825" s="358" t="s">
        <v>382</v>
      </c>
      <c r="E825" s="358" t="s">
        <v>770</v>
      </c>
      <c r="F825" s="358" t="s">
        <v>478</v>
      </c>
      <c r="G825" s="358" t="s">
        <v>789</v>
      </c>
      <c r="H825" s="358" t="s">
        <v>481</v>
      </c>
      <c r="I825" s="358" t="s">
        <v>770</v>
      </c>
      <c r="J825" s="358" t="s">
        <v>478</v>
      </c>
      <c r="K825" s="358" t="s">
        <v>478</v>
      </c>
      <c r="L825" s="362" t="s">
        <v>369</v>
      </c>
      <c r="M825" s="362"/>
      <c r="N825" s="363">
        <v>106.71</v>
      </c>
      <c r="O825" s="363">
        <v>127.28</v>
      </c>
      <c r="P825" s="363">
        <v>127.28</v>
      </c>
      <c r="Q825" s="595">
        <f t="shared" si="13"/>
        <v>1</v>
      </c>
    </row>
    <row r="826" spans="1:17" ht="16.5" hidden="1" outlineLevel="1">
      <c r="A826" s="125" t="s">
        <v>774</v>
      </c>
      <c r="B826" s="391" t="s">
        <v>514</v>
      </c>
      <c r="C826" s="72" t="s">
        <v>388</v>
      </c>
      <c r="D826" s="72" t="s">
        <v>382</v>
      </c>
      <c r="E826" s="72"/>
      <c r="F826" s="72"/>
      <c r="G826" s="72"/>
      <c r="H826" s="72"/>
      <c r="I826" s="72"/>
      <c r="J826" s="72"/>
      <c r="K826" s="72"/>
      <c r="L826" s="391" t="s">
        <v>735</v>
      </c>
      <c r="M826" s="391" t="s">
        <v>636</v>
      </c>
      <c r="N826" s="417">
        <v>374.24</v>
      </c>
      <c r="O826" s="417">
        <v>374.24</v>
      </c>
      <c r="P826" s="417"/>
      <c r="Q826" s="595">
        <f t="shared" si="13"/>
        <v>0</v>
      </c>
    </row>
    <row r="827" spans="1:17" ht="16.5" hidden="1" outlineLevel="1">
      <c r="A827" s="125" t="s">
        <v>775</v>
      </c>
      <c r="B827" s="391" t="s">
        <v>514</v>
      </c>
      <c r="C827" s="72" t="s">
        <v>388</v>
      </c>
      <c r="D827" s="72" t="s">
        <v>382</v>
      </c>
      <c r="E827" s="72"/>
      <c r="F827" s="72"/>
      <c r="G827" s="72"/>
      <c r="H827" s="72"/>
      <c r="I827" s="72"/>
      <c r="J827" s="72"/>
      <c r="K827" s="72"/>
      <c r="L827" s="391" t="s">
        <v>735</v>
      </c>
      <c r="M827" s="391" t="s">
        <v>637</v>
      </c>
      <c r="N827" s="417">
        <v>113.02</v>
      </c>
      <c r="O827" s="417">
        <v>113.02</v>
      </c>
      <c r="P827" s="417"/>
      <c r="Q827" s="595">
        <f t="shared" si="13"/>
        <v>0</v>
      </c>
    </row>
    <row r="828" spans="1:17" s="79" customFormat="1" ht="31.5" outlineLevel="1">
      <c r="A828" s="252" t="s">
        <v>894</v>
      </c>
      <c r="B828" s="362" t="s">
        <v>514</v>
      </c>
      <c r="C828" s="358" t="s">
        <v>483</v>
      </c>
      <c r="D828" s="358" t="s">
        <v>387</v>
      </c>
      <c r="E828" s="358" t="s">
        <v>770</v>
      </c>
      <c r="F828" s="358" t="s">
        <v>478</v>
      </c>
      <c r="G828" s="358" t="s">
        <v>789</v>
      </c>
      <c r="H828" s="358" t="s">
        <v>481</v>
      </c>
      <c r="I828" s="358" t="s">
        <v>770</v>
      </c>
      <c r="J828" s="358" t="s">
        <v>478</v>
      </c>
      <c r="K828" s="358" t="s">
        <v>480</v>
      </c>
      <c r="L828" s="362" t="s">
        <v>369</v>
      </c>
      <c r="M828" s="362"/>
      <c r="N828" s="363">
        <v>0</v>
      </c>
      <c r="O828" s="363">
        <v>0</v>
      </c>
      <c r="P828" s="363"/>
      <c r="Q828" s="595" t="e">
        <f t="shared" si="13"/>
        <v>#DIV/0!</v>
      </c>
    </row>
    <row r="829" spans="1:17" ht="16.5" hidden="1" outlineLevel="1">
      <c r="A829" s="125" t="s">
        <v>784</v>
      </c>
      <c r="B829" s="391" t="s">
        <v>514</v>
      </c>
      <c r="C829" s="72" t="s">
        <v>388</v>
      </c>
      <c r="D829" s="72" t="s">
        <v>382</v>
      </c>
      <c r="E829" s="72"/>
      <c r="F829" s="72"/>
      <c r="G829" s="72"/>
      <c r="H829" s="72"/>
      <c r="I829" s="72"/>
      <c r="J829" s="72"/>
      <c r="K829" s="72"/>
      <c r="L829" s="391" t="s">
        <v>639</v>
      </c>
      <c r="M829" s="391" t="s">
        <v>645</v>
      </c>
      <c r="N829" s="417"/>
      <c r="O829" s="417"/>
      <c r="P829" s="417"/>
      <c r="Q829" s="595" t="e">
        <f t="shared" si="13"/>
        <v>#DIV/0!</v>
      </c>
    </row>
    <row r="830" spans="1:17" ht="16.5" hidden="1" outlineLevel="1">
      <c r="A830" s="125" t="s">
        <v>855</v>
      </c>
      <c r="B830" s="391" t="s">
        <v>514</v>
      </c>
      <c r="C830" s="72" t="s">
        <v>388</v>
      </c>
      <c r="D830" s="72" t="s">
        <v>382</v>
      </c>
      <c r="E830" s="72"/>
      <c r="F830" s="72"/>
      <c r="G830" s="72"/>
      <c r="H830" s="72"/>
      <c r="I830" s="72"/>
      <c r="J830" s="72"/>
      <c r="K830" s="72"/>
      <c r="L830" s="391" t="s">
        <v>733</v>
      </c>
      <c r="M830" s="391" t="s">
        <v>680</v>
      </c>
      <c r="N830" s="417"/>
      <c r="O830" s="417"/>
      <c r="P830" s="417"/>
      <c r="Q830" s="595" t="e">
        <f t="shared" si="13"/>
        <v>#DIV/0!</v>
      </c>
    </row>
    <row r="831" spans="1:17" s="79" customFormat="1" ht="31.5" outlineLevel="1">
      <c r="A831" s="252" t="s">
        <v>856</v>
      </c>
      <c r="B831" s="362" t="s">
        <v>514</v>
      </c>
      <c r="C831" s="358" t="s">
        <v>388</v>
      </c>
      <c r="D831" s="358" t="s">
        <v>382</v>
      </c>
      <c r="E831" s="358" t="s">
        <v>770</v>
      </c>
      <c r="F831" s="358" t="s">
        <v>478</v>
      </c>
      <c r="G831" s="358" t="s">
        <v>789</v>
      </c>
      <c r="H831" s="358" t="s">
        <v>481</v>
      </c>
      <c r="I831" s="358" t="s">
        <v>770</v>
      </c>
      <c r="J831" s="358" t="s">
        <v>478</v>
      </c>
      <c r="K831" s="358" t="s">
        <v>481</v>
      </c>
      <c r="L831" s="362" t="s">
        <v>369</v>
      </c>
      <c r="M831" s="362"/>
      <c r="N831" s="363">
        <v>33.75</v>
      </c>
      <c r="O831" s="363">
        <v>31.84</v>
      </c>
      <c r="P831" s="363">
        <v>31.84</v>
      </c>
      <c r="Q831" s="595">
        <f t="shared" si="13"/>
        <v>1</v>
      </c>
    </row>
    <row r="832" spans="1:17" ht="31.5" hidden="1" outlineLevel="1">
      <c r="A832" s="125" t="s">
        <v>787</v>
      </c>
      <c r="B832" s="391" t="s">
        <v>514</v>
      </c>
      <c r="C832" s="358" t="s">
        <v>388</v>
      </c>
      <c r="D832" s="358" t="s">
        <v>382</v>
      </c>
      <c r="E832" s="358"/>
      <c r="F832" s="358"/>
      <c r="G832" s="358"/>
      <c r="H832" s="358"/>
      <c r="I832" s="358"/>
      <c r="J832" s="358"/>
      <c r="K832" s="358"/>
      <c r="L832" s="391" t="s">
        <v>639</v>
      </c>
      <c r="M832" s="391" t="s">
        <v>648</v>
      </c>
      <c r="N832" s="417">
        <v>33.75</v>
      </c>
      <c r="O832" s="417">
        <v>33.75</v>
      </c>
      <c r="P832" s="417"/>
      <c r="Q832" s="595">
        <f t="shared" si="13"/>
        <v>0</v>
      </c>
    </row>
    <row r="833" spans="1:17" s="79" customFormat="1" ht="31.5" outlineLevel="1">
      <c r="A833" s="252" t="s">
        <v>857</v>
      </c>
      <c r="B833" s="358" t="s">
        <v>514</v>
      </c>
      <c r="C833" s="358" t="s">
        <v>388</v>
      </c>
      <c r="D833" s="358" t="s">
        <v>382</v>
      </c>
      <c r="E833" s="72" t="s">
        <v>770</v>
      </c>
      <c r="F833" s="72" t="s">
        <v>528</v>
      </c>
      <c r="G833" s="72" t="s">
        <v>478</v>
      </c>
      <c r="H833" s="72" t="s">
        <v>770</v>
      </c>
      <c r="I833" s="72" t="s">
        <v>528</v>
      </c>
      <c r="J833" s="72" t="s">
        <v>770</v>
      </c>
      <c r="K833" s="72" t="s">
        <v>479</v>
      </c>
      <c r="L833" s="362" t="s">
        <v>369</v>
      </c>
      <c r="M833" s="362"/>
      <c r="N833" s="363">
        <f>32.18+3.2</f>
        <v>35.38</v>
      </c>
      <c r="O833" s="363">
        <v>28.41</v>
      </c>
      <c r="P833" s="363">
        <v>28.41</v>
      </c>
      <c r="Q833" s="595">
        <f t="shared" si="13"/>
        <v>1</v>
      </c>
    </row>
    <row r="834" spans="1:17" s="79" customFormat="1" ht="31.5" hidden="1" outlineLevel="1">
      <c r="A834" s="252" t="s">
        <v>787</v>
      </c>
      <c r="B834" s="72" t="s">
        <v>514</v>
      </c>
      <c r="C834" s="72" t="s">
        <v>388</v>
      </c>
      <c r="D834" s="72" t="s">
        <v>382</v>
      </c>
      <c r="E834" s="72"/>
      <c r="F834" s="72"/>
      <c r="G834" s="72"/>
      <c r="H834" s="72"/>
      <c r="I834" s="72"/>
      <c r="J834" s="72"/>
      <c r="K834" s="72"/>
      <c r="L834" s="362" t="s">
        <v>639</v>
      </c>
      <c r="M834" s="362" t="s">
        <v>648</v>
      </c>
      <c r="N834" s="363">
        <v>32.18</v>
      </c>
      <c r="O834" s="363">
        <v>32.18</v>
      </c>
      <c r="P834" s="363"/>
      <c r="Q834" s="595">
        <f t="shared" si="13"/>
        <v>0</v>
      </c>
    </row>
    <row r="835" spans="1:17" s="79" customFormat="1" ht="31.5" outlineLevel="1">
      <c r="A835" s="252" t="s">
        <v>895</v>
      </c>
      <c r="B835" s="358" t="s">
        <v>514</v>
      </c>
      <c r="C835" s="358" t="s">
        <v>388</v>
      </c>
      <c r="D835" s="358" t="s">
        <v>382</v>
      </c>
      <c r="E835" s="72" t="s">
        <v>770</v>
      </c>
      <c r="F835" s="72" t="s">
        <v>528</v>
      </c>
      <c r="G835" s="72" t="s">
        <v>478</v>
      </c>
      <c r="H835" s="72" t="s">
        <v>770</v>
      </c>
      <c r="I835" s="72" t="s">
        <v>528</v>
      </c>
      <c r="J835" s="72" t="s">
        <v>770</v>
      </c>
      <c r="K835" s="72" t="s">
        <v>480</v>
      </c>
      <c r="L835" s="362" t="s">
        <v>369</v>
      </c>
      <c r="M835" s="362"/>
      <c r="N835" s="363">
        <v>0</v>
      </c>
      <c r="O835" s="363">
        <v>0</v>
      </c>
      <c r="P835" s="363">
        <v>0</v>
      </c>
      <c r="Q835" s="595" t="e">
        <f t="shared" si="13"/>
        <v>#DIV/0!</v>
      </c>
    </row>
    <row r="836" spans="1:17" ht="16.5" hidden="1" outlineLevel="1">
      <c r="A836" s="125" t="s">
        <v>774</v>
      </c>
      <c r="B836" s="391" t="s">
        <v>514</v>
      </c>
      <c r="C836" s="391" t="s">
        <v>388</v>
      </c>
      <c r="D836" s="391" t="s">
        <v>382</v>
      </c>
      <c r="E836" s="391"/>
      <c r="F836" s="391"/>
      <c r="G836" s="391"/>
      <c r="H836" s="391"/>
      <c r="I836" s="391"/>
      <c r="J836" s="391"/>
      <c r="K836" s="391"/>
      <c r="L836" s="391" t="s">
        <v>639</v>
      </c>
      <c r="M836" s="391" t="s">
        <v>636</v>
      </c>
      <c r="N836" s="417"/>
      <c r="O836" s="417"/>
      <c r="P836" s="417"/>
      <c r="Q836" s="595" t="e">
        <f t="shared" si="13"/>
        <v>#DIV/0!</v>
      </c>
    </row>
    <row r="837" spans="1:17" ht="16.5" hidden="1" outlineLevel="1">
      <c r="A837" s="125" t="s">
        <v>775</v>
      </c>
      <c r="B837" s="391" t="s">
        <v>514</v>
      </c>
      <c r="C837" s="391" t="s">
        <v>388</v>
      </c>
      <c r="D837" s="391" t="s">
        <v>382</v>
      </c>
      <c r="E837" s="391"/>
      <c r="F837" s="391"/>
      <c r="G837" s="391"/>
      <c r="H837" s="391"/>
      <c r="I837" s="391"/>
      <c r="J837" s="391"/>
      <c r="K837" s="391"/>
      <c r="L837" s="391" t="s">
        <v>639</v>
      </c>
      <c r="M837" s="391" t="s">
        <v>637</v>
      </c>
      <c r="N837" s="417"/>
      <c r="O837" s="417"/>
      <c r="P837" s="417"/>
      <c r="Q837" s="595" t="e">
        <f t="shared" si="13"/>
        <v>#DIV/0!</v>
      </c>
    </row>
    <row r="838" spans="1:17" ht="31.5" hidden="1" outlineLevel="1">
      <c r="A838" s="125" t="s">
        <v>787</v>
      </c>
      <c r="B838" s="391" t="s">
        <v>514</v>
      </c>
      <c r="C838" s="391" t="s">
        <v>388</v>
      </c>
      <c r="D838" s="391" t="s">
        <v>382</v>
      </c>
      <c r="E838" s="391"/>
      <c r="F838" s="391"/>
      <c r="G838" s="391"/>
      <c r="H838" s="391"/>
      <c r="I838" s="391"/>
      <c r="J838" s="391"/>
      <c r="K838" s="391"/>
      <c r="L838" s="391" t="s">
        <v>639</v>
      </c>
      <c r="M838" s="391" t="s">
        <v>648</v>
      </c>
      <c r="N838" s="417"/>
      <c r="O838" s="417"/>
      <c r="P838" s="417"/>
      <c r="Q838" s="595" t="e">
        <f t="shared" si="13"/>
        <v>#DIV/0!</v>
      </c>
    </row>
    <row r="839" spans="1:17" ht="45" outlineLevel="1">
      <c r="A839" s="51" t="s">
        <v>866</v>
      </c>
      <c r="B839" s="73" t="s">
        <v>514</v>
      </c>
      <c r="C839" s="73" t="s">
        <v>388</v>
      </c>
      <c r="D839" s="73" t="s">
        <v>385</v>
      </c>
      <c r="E839" s="391" t="s">
        <v>770</v>
      </c>
      <c r="F839" s="391" t="s">
        <v>528</v>
      </c>
      <c r="G839" s="391" t="s">
        <v>546</v>
      </c>
      <c r="H839" s="391" t="s">
        <v>770</v>
      </c>
      <c r="I839" s="391" t="s">
        <v>528</v>
      </c>
      <c r="J839" s="391" t="s">
        <v>770</v>
      </c>
      <c r="K839" s="391" t="s">
        <v>546</v>
      </c>
      <c r="L839" s="73" t="s">
        <v>778</v>
      </c>
      <c r="M839" s="73"/>
      <c r="N839" s="371"/>
      <c r="O839" s="569">
        <v>5</v>
      </c>
      <c r="P839" s="569">
        <v>5</v>
      </c>
      <c r="Q839" s="595">
        <f t="shared" si="13"/>
        <v>1</v>
      </c>
    </row>
    <row r="840" spans="1:17" s="397" customFormat="1" ht="39.75" customHeight="1" outlineLevel="1">
      <c r="A840" s="418" t="s">
        <v>1016</v>
      </c>
      <c r="B840" s="419" t="s">
        <v>514</v>
      </c>
      <c r="C840" s="419"/>
      <c r="D840" s="419"/>
      <c r="E840" s="419"/>
      <c r="F840" s="419"/>
      <c r="G840" s="419"/>
      <c r="H840" s="419"/>
      <c r="I840" s="419"/>
      <c r="J840" s="419"/>
      <c r="K840" s="419"/>
      <c r="L840" s="419"/>
      <c r="M840" s="419"/>
      <c r="N840" s="420">
        <f>N844+N848+N862+N868+N871+N874+N876+N878</f>
        <v>4705.53</v>
      </c>
      <c r="O840" s="420">
        <f>O844+O848+O862+O868+O871+O874+O876+O878+O882+O883</f>
        <v>5027.45</v>
      </c>
      <c r="P840" s="420">
        <f>P844+P848+P862+P868+P871+P874+P876+P878+P882+P883</f>
        <v>5027.45</v>
      </c>
      <c r="Q840" s="595">
        <f t="shared" si="13"/>
        <v>1</v>
      </c>
    </row>
    <row r="841" spans="1:17" ht="16.5" outlineLevel="1">
      <c r="A841" s="125" t="s">
        <v>509</v>
      </c>
      <c r="B841" s="391" t="s">
        <v>514</v>
      </c>
      <c r="C841" s="391" t="s">
        <v>388</v>
      </c>
      <c r="D841" s="391"/>
      <c r="E841" s="391"/>
      <c r="F841" s="391"/>
      <c r="G841" s="391"/>
      <c r="H841" s="391"/>
      <c r="I841" s="391"/>
      <c r="J841" s="391"/>
      <c r="K841" s="391"/>
      <c r="L841" s="391"/>
      <c r="M841" s="391"/>
      <c r="N841" s="417">
        <v>4687.5</v>
      </c>
      <c r="O841" s="417">
        <f>O842</f>
        <v>5027.45</v>
      </c>
      <c r="P841" s="417">
        <f>P842</f>
        <v>5027.45</v>
      </c>
      <c r="Q841" s="595">
        <f t="shared" si="13"/>
        <v>1</v>
      </c>
    </row>
    <row r="842" spans="1:17" ht="16.5" outlineLevel="1">
      <c r="A842" s="125" t="s">
        <v>512</v>
      </c>
      <c r="B842" s="391" t="s">
        <v>514</v>
      </c>
      <c r="C842" s="391" t="s">
        <v>388</v>
      </c>
      <c r="D842" s="391" t="s">
        <v>382</v>
      </c>
      <c r="E842" s="391"/>
      <c r="F842" s="391"/>
      <c r="G842" s="391"/>
      <c r="H842" s="391"/>
      <c r="I842" s="391"/>
      <c r="J842" s="391"/>
      <c r="K842" s="391"/>
      <c r="L842" s="391"/>
      <c r="M842" s="391"/>
      <c r="N842" s="417">
        <v>4687.5</v>
      </c>
      <c r="O842" s="417">
        <f>O843+O862+O868+O871+O874+O876+O878+O882+O883</f>
        <v>5027.45</v>
      </c>
      <c r="P842" s="417">
        <f>P843+P862+P868+P871+P874+P876+P878+P882+P883</f>
        <v>5027.45</v>
      </c>
      <c r="Q842" s="595">
        <f t="shared" si="13"/>
        <v>1</v>
      </c>
    </row>
    <row r="843" spans="1:17" ht="47.25" outlineLevel="1">
      <c r="A843" s="125" t="s">
        <v>892</v>
      </c>
      <c r="B843" s="391" t="s">
        <v>514</v>
      </c>
      <c r="C843" s="391" t="s">
        <v>388</v>
      </c>
      <c r="D843" s="391" t="s">
        <v>382</v>
      </c>
      <c r="E843" s="391" t="s">
        <v>770</v>
      </c>
      <c r="F843" s="391" t="s">
        <v>528</v>
      </c>
      <c r="G843" s="391"/>
      <c r="H843" s="391"/>
      <c r="I843" s="391"/>
      <c r="J843" s="391"/>
      <c r="K843" s="391"/>
      <c r="L843" s="391" t="s">
        <v>369</v>
      </c>
      <c r="M843" s="391"/>
      <c r="N843" s="417">
        <f>N844+N848</f>
        <v>668.12</v>
      </c>
      <c r="O843" s="417">
        <f>O844+O848</f>
        <v>685.0799999999999</v>
      </c>
      <c r="P843" s="417">
        <f>P844+P848</f>
        <v>685.0799999999999</v>
      </c>
      <c r="Q843" s="595">
        <f t="shared" si="13"/>
        <v>1</v>
      </c>
    </row>
    <row r="844" spans="1:17" ht="31.5" outlineLevel="1">
      <c r="A844" s="125" t="s">
        <v>850</v>
      </c>
      <c r="B844" s="391" t="s">
        <v>514</v>
      </c>
      <c r="C844" s="391" t="s">
        <v>388</v>
      </c>
      <c r="D844" s="391" t="s">
        <v>382</v>
      </c>
      <c r="E844" s="391" t="s">
        <v>770</v>
      </c>
      <c r="F844" s="391" t="s">
        <v>528</v>
      </c>
      <c r="G844" s="391" t="s">
        <v>478</v>
      </c>
      <c r="H844" s="391" t="s">
        <v>770</v>
      </c>
      <c r="I844" s="391" t="s">
        <v>528</v>
      </c>
      <c r="J844" s="391" t="s">
        <v>770</v>
      </c>
      <c r="K844" s="391" t="s">
        <v>528</v>
      </c>
      <c r="L844" s="391" t="s">
        <v>773</v>
      </c>
      <c r="M844" s="391"/>
      <c r="N844" s="417">
        <v>298.81</v>
      </c>
      <c r="O844" s="417">
        <v>303.3</v>
      </c>
      <c r="P844" s="417">
        <v>303.3</v>
      </c>
      <c r="Q844" s="595">
        <f aca="true" t="shared" si="14" ref="Q844:Q907">P844/O844</f>
        <v>1</v>
      </c>
    </row>
    <row r="845" spans="1:17" ht="16.5" hidden="1" outlineLevel="1">
      <c r="A845" s="125" t="s">
        <v>774</v>
      </c>
      <c r="B845" s="391" t="s">
        <v>514</v>
      </c>
      <c r="C845" s="391" t="s">
        <v>388</v>
      </c>
      <c r="D845" s="391" t="s">
        <v>382</v>
      </c>
      <c r="E845" s="391"/>
      <c r="F845" s="391"/>
      <c r="G845" s="391"/>
      <c r="H845" s="391"/>
      <c r="I845" s="391"/>
      <c r="J845" s="391"/>
      <c r="K845" s="391"/>
      <c r="L845" s="391" t="s">
        <v>735</v>
      </c>
      <c r="M845" s="391" t="s">
        <v>636</v>
      </c>
      <c r="N845" s="417">
        <v>174.92</v>
      </c>
      <c r="O845" s="417">
        <v>174.92</v>
      </c>
      <c r="P845" s="417"/>
      <c r="Q845" s="595">
        <f t="shared" si="14"/>
        <v>0</v>
      </c>
    </row>
    <row r="846" spans="1:17" ht="16.5" hidden="1" outlineLevel="1">
      <c r="A846" s="125" t="s">
        <v>776</v>
      </c>
      <c r="B846" s="391" t="s">
        <v>514</v>
      </c>
      <c r="C846" s="391" t="s">
        <v>388</v>
      </c>
      <c r="D846" s="391" t="s">
        <v>382</v>
      </c>
      <c r="E846" s="391"/>
      <c r="F846" s="391"/>
      <c r="G846" s="391"/>
      <c r="H846" s="391"/>
      <c r="I846" s="391"/>
      <c r="J846" s="391"/>
      <c r="K846" s="391"/>
      <c r="L846" s="391" t="s">
        <v>676</v>
      </c>
      <c r="M846" s="391" t="s">
        <v>660</v>
      </c>
      <c r="N846" s="417">
        <v>12</v>
      </c>
      <c r="O846" s="417">
        <v>12</v>
      </c>
      <c r="P846" s="417"/>
      <c r="Q846" s="595">
        <f t="shared" si="14"/>
        <v>0</v>
      </c>
    </row>
    <row r="847" spans="1:17" ht="16.5" hidden="1" outlineLevel="1">
      <c r="A847" s="125" t="s">
        <v>775</v>
      </c>
      <c r="B847" s="391" t="s">
        <v>514</v>
      </c>
      <c r="C847" s="391" t="s">
        <v>388</v>
      </c>
      <c r="D847" s="391" t="s">
        <v>382</v>
      </c>
      <c r="E847" s="391"/>
      <c r="F847" s="391"/>
      <c r="G847" s="391"/>
      <c r="H847" s="391"/>
      <c r="I847" s="391"/>
      <c r="J847" s="391"/>
      <c r="K847" s="391"/>
      <c r="L847" s="391" t="s">
        <v>735</v>
      </c>
      <c r="M847" s="391" t="s">
        <v>637</v>
      </c>
      <c r="N847" s="417">
        <v>52.82</v>
      </c>
      <c r="O847" s="417">
        <v>52.82</v>
      </c>
      <c r="P847" s="417"/>
      <c r="Q847" s="595">
        <f t="shared" si="14"/>
        <v>0</v>
      </c>
    </row>
    <row r="848" spans="1:17" ht="31.5" outlineLevel="1">
      <c r="A848" s="125" t="s">
        <v>777</v>
      </c>
      <c r="B848" s="391" t="s">
        <v>514</v>
      </c>
      <c r="C848" s="391" t="s">
        <v>388</v>
      </c>
      <c r="D848" s="391" t="s">
        <v>382</v>
      </c>
      <c r="E848" s="391" t="s">
        <v>770</v>
      </c>
      <c r="F848" s="391" t="s">
        <v>528</v>
      </c>
      <c r="G848" s="391" t="s">
        <v>478</v>
      </c>
      <c r="H848" s="391" t="s">
        <v>770</v>
      </c>
      <c r="I848" s="391" t="s">
        <v>528</v>
      </c>
      <c r="J848" s="391" t="s">
        <v>770</v>
      </c>
      <c r="K848" s="391" t="s">
        <v>478</v>
      </c>
      <c r="L848" s="391" t="s">
        <v>778</v>
      </c>
      <c r="M848" s="391"/>
      <c r="N848" s="417">
        <v>369.31</v>
      </c>
      <c r="O848" s="417">
        <v>381.78</v>
      </c>
      <c r="P848" s="417">
        <v>381.78</v>
      </c>
      <c r="Q848" s="595">
        <f t="shared" si="14"/>
        <v>1</v>
      </c>
    </row>
    <row r="849" spans="1:17" ht="16.5" hidden="1" outlineLevel="1">
      <c r="A849" s="125" t="s">
        <v>779</v>
      </c>
      <c r="B849" s="391" t="s">
        <v>514</v>
      </c>
      <c r="C849" s="391" t="s">
        <v>388</v>
      </c>
      <c r="D849" s="391" t="s">
        <v>382</v>
      </c>
      <c r="E849" s="391"/>
      <c r="F849" s="391"/>
      <c r="G849" s="391"/>
      <c r="H849" s="391"/>
      <c r="I849" s="391"/>
      <c r="J849" s="391"/>
      <c r="K849" s="391"/>
      <c r="L849" s="391" t="s">
        <v>639</v>
      </c>
      <c r="M849" s="391" t="s">
        <v>640</v>
      </c>
      <c r="N849" s="417">
        <v>9.8</v>
      </c>
      <c r="O849" s="417">
        <v>9.8</v>
      </c>
      <c r="P849" s="417"/>
      <c r="Q849" s="595">
        <f t="shared" si="14"/>
        <v>0</v>
      </c>
    </row>
    <row r="850" spans="1:17" ht="16.5" hidden="1" outlineLevel="1">
      <c r="A850" s="125" t="s">
        <v>780</v>
      </c>
      <c r="B850" s="391" t="s">
        <v>514</v>
      </c>
      <c r="C850" s="391" t="s">
        <v>388</v>
      </c>
      <c r="D850" s="391" t="s">
        <v>382</v>
      </c>
      <c r="E850" s="391"/>
      <c r="F850" s="391"/>
      <c r="G850" s="391"/>
      <c r="H850" s="391"/>
      <c r="I850" s="391"/>
      <c r="J850" s="391"/>
      <c r="K850" s="391"/>
      <c r="L850" s="391" t="s">
        <v>639</v>
      </c>
      <c r="M850" s="391" t="s">
        <v>641</v>
      </c>
      <c r="N850" s="417"/>
      <c r="O850" s="417"/>
      <c r="P850" s="417"/>
      <c r="Q850" s="595" t="e">
        <f t="shared" si="14"/>
        <v>#DIV/0!</v>
      </c>
    </row>
    <row r="851" spans="1:17" ht="16.5" hidden="1" outlineLevel="1">
      <c r="A851" s="125" t="s">
        <v>781</v>
      </c>
      <c r="B851" s="391" t="s">
        <v>514</v>
      </c>
      <c r="C851" s="391" t="s">
        <v>388</v>
      </c>
      <c r="D851" s="391" t="s">
        <v>382</v>
      </c>
      <c r="E851" s="391"/>
      <c r="F851" s="391"/>
      <c r="G851" s="391"/>
      <c r="H851" s="391"/>
      <c r="I851" s="391"/>
      <c r="J851" s="391"/>
      <c r="K851" s="391"/>
      <c r="L851" s="391" t="s">
        <v>639</v>
      </c>
      <c r="M851" s="391" t="s">
        <v>642</v>
      </c>
      <c r="N851" s="417">
        <v>112.74</v>
      </c>
      <c r="O851" s="417">
        <v>112.74</v>
      </c>
      <c r="P851" s="417"/>
      <c r="Q851" s="595">
        <f t="shared" si="14"/>
        <v>0</v>
      </c>
    </row>
    <row r="852" spans="1:17" ht="16.5" hidden="1" outlineLevel="1">
      <c r="A852" s="125" t="s">
        <v>782</v>
      </c>
      <c r="B852" s="391" t="s">
        <v>514</v>
      </c>
      <c r="C852" s="391" t="s">
        <v>388</v>
      </c>
      <c r="D852" s="391" t="s">
        <v>382</v>
      </c>
      <c r="E852" s="391"/>
      <c r="F852" s="391"/>
      <c r="G852" s="391"/>
      <c r="H852" s="391"/>
      <c r="I852" s="391"/>
      <c r="J852" s="391"/>
      <c r="K852" s="391"/>
      <c r="L852" s="391" t="s">
        <v>639</v>
      </c>
      <c r="M852" s="391" t="s">
        <v>643</v>
      </c>
      <c r="N852" s="417"/>
      <c r="O852" s="417"/>
      <c r="P852" s="417"/>
      <c r="Q852" s="595" t="e">
        <f t="shared" si="14"/>
        <v>#DIV/0!</v>
      </c>
    </row>
    <row r="853" spans="1:17" ht="16.5" hidden="1" outlineLevel="1">
      <c r="A853" s="125" t="s">
        <v>783</v>
      </c>
      <c r="B853" s="391" t="s">
        <v>514</v>
      </c>
      <c r="C853" s="391" t="s">
        <v>388</v>
      </c>
      <c r="D853" s="391" t="s">
        <v>382</v>
      </c>
      <c r="E853" s="391"/>
      <c r="F853" s="391"/>
      <c r="G853" s="391"/>
      <c r="H853" s="391"/>
      <c r="I853" s="391"/>
      <c r="J853" s="391"/>
      <c r="K853" s="391"/>
      <c r="L853" s="391" t="s">
        <v>639</v>
      </c>
      <c r="M853" s="391" t="s">
        <v>644</v>
      </c>
      <c r="N853" s="417">
        <v>62</v>
      </c>
      <c r="O853" s="417">
        <v>62</v>
      </c>
      <c r="P853" s="417"/>
      <c r="Q853" s="595">
        <f t="shared" si="14"/>
        <v>0</v>
      </c>
    </row>
    <row r="854" spans="1:17" ht="16.5" hidden="1" outlineLevel="1">
      <c r="A854" s="125" t="s">
        <v>784</v>
      </c>
      <c r="B854" s="391" t="s">
        <v>514</v>
      </c>
      <c r="C854" s="391" t="s">
        <v>388</v>
      </c>
      <c r="D854" s="391" t="s">
        <v>382</v>
      </c>
      <c r="E854" s="391"/>
      <c r="F854" s="391"/>
      <c r="G854" s="391"/>
      <c r="H854" s="391"/>
      <c r="I854" s="391"/>
      <c r="J854" s="391"/>
      <c r="K854" s="391"/>
      <c r="L854" s="391" t="s">
        <v>639</v>
      </c>
      <c r="M854" s="391" t="s">
        <v>645</v>
      </c>
      <c r="N854" s="417">
        <v>99.77</v>
      </c>
      <c r="O854" s="417">
        <v>99.77</v>
      </c>
      <c r="P854" s="417"/>
      <c r="Q854" s="595">
        <f t="shared" si="14"/>
        <v>0</v>
      </c>
    </row>
    <row r="855" spans="1:17" ht="16.5" hidden="1" outlineLevel="1">
      <c r="A855" s="125" t="s">
        <v>785</v>
      </c>
      <c r="B855" s="391" t="s">
        <v>514</v>
      </c>
      <c r="C855" s="391" t="s">
        <v>388</v>
      </c>
      <c r="D855" s="391" t="s">
        <v>382</v>
      </c>
      <c r="E855" s="391"/>
      <c r="F855" s="391"/>
      <c r="G855" s="391"/>
      <c r="H855" s="391"/>
      <c r="I855" s="391"/>
      <c r="J855" s="391"/>
      <c r="K855" s="391"/>
      <c r="L855" s="391" t="s">
        <v>639</v>
      </c>
      <c r="M855" s="391" t="s">
        <v>646</v>
      </c>
      <c r="N855" s="417">
        <v>20</v>
      </c>
      <c r="O855" s="417">
        <v>20</v>
      </c>
      <c r="P855" s="417"/>
      <c r="Q855" s="595">
        <f t="shared" si="14"/>
        <v>0</v>
      </c>
    </row>
    <row r="856" spans="1:17" ht="16.5" hidden="1" outlineLevel="1">
      <c r="A856" s="125" t="s">
        <v>786</v>
      </c>
      <c r="B856" s="391" t="s">
        <v>514</v>
      </c>
      <c r="C856" s="391" t="s">
        <v>388</v>
      </c>
      <c r="D856" s="391" t="s">
        <v>382</v>
      </c>
      <c r="E856" s="391"/>
      <c r="F856" s="391"/>
      <c r="G856" s="391"/>
      <c r="H856" s="391"/>
      <c r="I856" s="391"/>
      <c r="J856" s="391"/>
      <c r="K856" s="391"/>
      <c r="L856" s="391" t="s">
        <v>639</v>
      </c>
      <c r="M856" s="391" t="s">
        <v>647</v>
      </c>
      <c r="N856" s="417"/>
      <c r="O856" s="417"/>
      <c r="P856" s="417"/>
      <c r="Q856" s="595" t="e">
        <f t="shared" si="14"/>
        <v>#DIV/0!</v>
      </c>
    </row>
    <row r="857" spans="1:17" ht="31.5" hidden="1" outlineLevel="1">
      <c r="A857" s="125" t="s">
        <v>787</v>
      </c>
      <c r="B857" s="391" t="s">
        <v>514</v>
      </c>
      <c r="C857" s="391" t="s">
        <v>388</v>
      </c>
      <c r="D857" s="391" t="s">
        <v>382</v>
      </c>
      <c r="E857" s="391"/>
      <c r="F857" s="391"/>
      <c r="G857" s="391"/>
      <c r="H857" s="391"/>
      <c r="I857" s="391"/>
      <c r="J857" s="391"/>
      <c r="K857" s="391"/>
      <c r="L857" s="391" t="s">
        <v>639</v>
      </c>
      <c r="M857" s="391" t="s">
        <v>648</v>
      </c>
      <c r="N857" s="417">
        <v>65</v>
      </c>
      <c r="O857" s="417">
        <v>65</v>
      </c>
      <c r="P857" s="417"/>
      <c r="Q857" s="595">
        <f t="shared" si="14"/>
        <v>0</v>
      </c>
    </row>
    <row r="858" spans="1:17" ht="16.5" hidden="1" outlineLevel="1">
      <c r="A858" s="125" t="s">
        <v>510</v>
      </c>
      <c r="B858" s="391" t="s">
        <v>514</v>
      </c>
      <c r="C858" s="391" t="s">
        <v>483</v>
      </c>
      <c r="D858" s="391"/>
      <c r="E858" s="391"/>
      <c r="F858" s="391"/>
      <c r="G858" s="391"/>
      <c r="H858" s="391"/>
      <c r="I858" s="391"/>
      <c r="J858" s="391"/>
      <c r="K858" s="391"/>
      <c r="L858" s="391"/>
      <c r="M858" s="391"/>
      <c r="N858" s="417">
        <v>0</v>
      </c>
      <c r="O858" s="417">
        <v>0</v>
      </c>
      <c r="P858" s="417"/>
      <c r="Q858" s="595" t="e">
        <f t="shared" si="14"/>
        <v>#DIV/0!</v>
      </c>
    </row>
    <row r="859" spans="1:17" ht="16.5" hidden="1" outlineLevel="1">
      <c r="A859" s="125" t="s">
        <v>521</v>
      </c>
      <c r="B859" s="391" t="s">
        <v>514</v>
      </c>
      <c r="C859" s="391" t="s">
        <v>483</v>
      </c>
      <c r="D859" s="391" t="s">
        <v>391</v>
      </c>
      <c r="E859" s="391"/>
      <c r="F859" s="391"/>
      <c r="G859" s="391"/>
      <c r="H859" s="391"/>
      <c r="I859" s="391"/>
      <c r="J859" s="391"/>
      <c r="K859" s="391"/>
      <c r="L859" s="391"/>
      <c r="M859" s="391"/>
      <c r="N859" s="417">
        <v>0</v>
      </c>
      <c r="O859" s="417">
        <v>0</v>
      </c>
      <c r="P859" s="417"/>
      <c r="Q859" s="595" t="e">
        <f t="shared" si="14"/>
        <v>#DIV/0!</v>
      </c>
    </row>
    <row r="860" spans="1:17" ht="63" hidden="1" outlineLevel="1">
      <c r="A860" s="125" t="s">
        <v>842</v>
      </c>
      <c r="B860" s="391" t="s">
        <v>514</v>
      </c>
      <c r="C860" s="391" t="s">
        <v>483</v>
      </c>
      <c r="D860" s="391" t="s">
        <v>391</v>
      </c>
      <c r="E860" s="391" t="s">
        <v>843</v>
      </c>
      <c r="F860" s="391"/>
      <c r="G860" s="391"/>
      <c r="H860" s="391"/>
      <c r="I860" s="391"/>
      <c r="J860" s="391"/>
      <c r="K860" s="391"/>
      <c r="L860" s="391" t="s">
        <v>844</v>
      </c>
      <c r="M860" s="391"/>
      <c r="N860" s="417"/>
      <c r="O860" s="417"/>
      <c r="P860" s="417"/>
      <c r="Q860" s="595" t="e">
        <f t="shared" si="14"/>
        <v>#DIV/0!</v>
      </c>
    </row>
    <row r="861" spans="1:17" ht="63" hidden="1" outlineLevel="1">
      <c r="A861" s="125" t="s">
        <v>842</v>
      </c>
      <c r="B861" s="391" t="s">
        <v>514</v>
      </c>
      <c r="C861" s="391" t="s">
        <v>483</v>
      </c>
      <c r="D861" s="391" t="s">
        <v>391</v>
      </c>
      <c r="E861" s="391" t="s">
        <v>845</v>
      </c>
      <c r="F861" s="391"/>
      <c r="G861" s="391"/>
      <c r="H861" s="391"/>
      <c r="I861" s="391"/>
      <c r="J861" s="391"/>
      <c r="K861" s="391"/>
      <c r="L861" s="391" t="s">
        <v>844</v>
      </c>
      <c r="M861" s="391"/>
      <c r="N861" s="417"/>
      <c r="O861" s="417"/>
      <c r="P861" s="417"/>
      <c r="Q861" s="595" t="e">
        <f t="shared" si="14"/>
        <v>#DIV/0!</v>
      </c>
    </row>
    <row r="862" spans="1:17" s="79" customFormat="1" ht="31.5" outlineLevel="1">
      <c r="A862" s="252" t="s">
        <v>893</v>
      </c>
      <c r="B862" s="362" t="s">
        <v>514</v>
      </c>
      <c r="C862" s="358" t="s">
        <v>388</v>
      </c>
      <c r="D862" s="358" t="s">
        <v>382</v>
      </c>
      <c r="E862" s="358" t="s">
        <v>770</v>
      </c>
      <c r="F862" s="358" t="s">
        <v>478</v>
      </c>
      <c r="G862" s="358" t="s">
        <v>789</v>
      </c>
      <c r="H862" s="358" t="s">
        <v>481</v>
      </c>
      <c r="I862" s="358" t="s">
        <v>770</v>
      </c>
      <c r="J862" s="358" t="s">
        <v>528</v>
      </c>
      <c r="K862" s="358" t="s">
        <v>480</v>
      </c>
      <c r="L862" s="362" t="s">
        <v>369</v>
      </c>
      <c r="M862" s="362"/>
      <c r="N862" s="363">
        <v>3308</v>
      </c>
      <c r="O862" s="363">
        <f>3157.64+205.22</f>
        <v>3362.8599999999997</v>
      </c>
      <c r="P862" s="363">
        <f>3157.64+205.22</f>
        <v>3362.8599999999997</v>
      </c>
      <c r="Q862" s="595">
        <f t="shared" si="14"/>
        <v>1</v>
      </c>
    </row>
    <row r="863" spans="1:17" ht="16.5" hidden="1" outlineLevel="1">
      <c r="A863" s="125" t="s">
        <v>774</v>
      </c>
      <c r="B863" s="391" t="s">
        <v>514</v>
      </c>
      <c r="C863" s="72" t="s">
        <v>388</v>
      </c>
      <c r="D863" s="72" t="s">
        <v>382</v>
      </c>
      <c r="E863" s="72"/>
      <c r="F863" s="72"/>
      <c r="G863" s="72"/>
      <c r="H863" s="72"/>
      <c r="I863" s="72"/>
      <c r="J863" s="72"/>
      <c r="K863" s="72"/>
      <c r="L863" s="391" t="s">
        <v>719</v>
      </c>
      <c r="M863" s="391" t="s">
        <v>636</v>
      </c>
      <c r="N863" s="417">
        <v>2268.64</v>
      </c>
      <c r="O863" s="417">
        <v>2268.64</v>
      </c>
      <c r="P863" s="417"/>
      <c r="Q863" s="595">
        <f t="shared" si="14"/>
        <v>0</v>
      </c>
    </row>
    <row r="864" spans="1:17" ht="16.5" hidden="1" outlineLevel="1">
      <c r="A864" s="125" t="s">
        <v>775</v>
      </c>
      <c r="B864" s="391" t="s">
        <v>514</v>
      </c>
      <c r="C864" s="72" t="s">
        <v>388</v>
      </c>
      <c r="D864" s="72" t="s">
        <v>382</v>
      </c>
      <c r="E864" s="72"/>
      <c r="F864" s="72"/>
      <c r="G864" s="72"/>
      <c r="H864" s="72"/>
      <c r="I864" s="72"/>
      <c r="J864" s="72"/>
      <c r="K864" s="72"/>
      <c r="L864" s="391" t="s">
        <v>719</v>
      </c>
      <c r="M864" s="391" t="s">
        <v>637</v>
      </c>
      <c r="N864" s="417">
        <v>685.13</v>
      </c>
      <c r="O864" s="417">
        <v>685.13</v>
      </c>
      <c r="P864" s="417"/>
      <c r="Q864" s="595">
        <f t="shared" si="14"/>
        <v>0</v>
      </c>
    </row>
    <row r="865" spans="1:17" ht="16.5" hidden="1" outlineLevel="1">
      <c r="A865" s="125" t="s">
        <v>784</v>
      </c>
      <c r="B865" s="391" t="s">
        <v>514</v>
      </c>
      <c r="C865" s="72" t="s">
        <v>388</v>
      </c>
      <c r="D865" s="72" t="s">
        <v>382</v>
      </c>
      <c r="E865" s="72"/>
      <c r="F865" s="72"/>
      <c r="G865" s="72"/>
      <c r="H865" s="72"/>
      <c r="I865" s="72"/>
      <c r="J865" s="72"/>
      <c r="K865" s="72"/>
      <c r="L865" s="391" t="s">
        <v>719</v>
      </c>
      <c r="M865" s="391" t="s">
        <v>645</v>
      </c>
      <c r="N865" s="417"/>
      <c r="O865" s="417"/>
      <c r="P865" s="417"/>
      <c r="Q865" s="595" t="e">
        <f t="shared" si="14"/>
        <v>#DIV/0!</v>
      </c>
    </row>
    <row r="866" spans="1:17" ht="16.5" hidden="1" outlineLevel="1">
      <c r="A866" s="125" t="s">
        <v>786</v>
      </c>
      <c r="B866" s="391" t="s">
        <v>514</v>
      </c>
      <c r="C866" s="72" t="s">
        <v>388</v>
      </c>
      <c r="D866" s="72" t="s">
        <v>382</v>
      </c>
      <c r="E866" s="72"/>
      <c r="F866" s="72"/>
      <c r="G866" s="72"/>
      <c r="H866" s="72"/>
      <c r="I866" s="72"/>
      <c r="J866" s="72"/>
      <c r="K866" s="72"/>
      <c r="L866" s="391" t="s">
        <v>719</v>
      </c>
      <c r="M866" s="391" t="s">
        <v>647</v>
      </c>
      <c r="N866" s="417">
        <v>17.5</v>
      </c>
      <c r="O866" s="417">
        <v>17.5</v>
      </c>
      <c r="P866" s="417"/>
      <c r="Q866" s="595">
        <f t="shared" si="14"/>
        <v>0</v>
      </c>
    </row>
    <row r="867" spans="1:17" ht="31.5" hidden="1" outlineLevel="1">
      <c r="A867" s="125" t="s">
        <v>787</v>
      </c>
      <c r="B867" s="391" t="s">
        <v>514</v>
      </c>
      <c r="C867" s="72" t="s">
        <v>388</v>
      </c>
      <c r="D867" s="72" t="s">
        <v>382</v>
      </c>
      <c r="E867" s="72"/>
      <c r="F867" s="72"/>
      <c r="G867" s="72"/>
      <c r="H867" s="72"/>
      <c r="I867" s="72"/>
      <c r="J867" s="72"/>
      <c r="K867" s="72"/>
      <c r="L867" s="391" t="s">
        <v>719</v>
      </c>
      <c r="M867" s="391" t="s">
        <v>648</v>
      </c>
      <c r="N867" s="417">
        <v>5</v>
      </c>
      <c r="O867" s="417">
        <v>5</v>
      </c>
      <c r="P867" s="417"/>
      <c r="Q867" s="595">
        <f t="shared" si="14"/>
        <v>0</v>
      </c>
    </row>
    <row r="868" spans="1:17" s="79" customFormat="1" ht="16.5" outlineLevel="1">
      <c r="A868" s="252" t="s">
        <v>854</v>
      </c>
      <c r="B868" s="362" t="s">
        <v>514</v>
      </c>
      <c r="C868" s="358" t="s">
        <v>388</v>
      </c>
      <c r="D868" s="358" t="s">
        <v>382</v>
      </c>
      <c r="E868" s="358" t="s">
        <v>770</v>
      </c>
      <c r="F868" s="358" t="s">
        <v>478</v>
      </c>
      <c r="G868" s="358" t="s">
        <v>789</v>
      </c>
      <c r="H868" s="358" t="s">
        <v>481</v>
      </c>
      <c r="I868" s="358" t="s">
        <v>770</v>
      </c>
      <c r="J868" s="358" t="s">
        <v>478</v>
      </c>
      <c r="K868" s="358" t="s">
        <v>478</v>
      </c>
      <c r="L868" s="362" t="s">
        <v>369</v>
      </c>
      <c r="M868" s="362"/>
      <c r="N868" s="363">
        <v>130.53</v>
      </c>
      <c r="O868" s="363">
        <v>131.8</v>
      </c>
      <c r="P868" s="363">
        <v>131.8</v>
      </c>
      <c r="Q868" s="595">
        <f t="shared" si="14"/>
        <v>1</v>
      </c>
    </row>
    <row r="869" spans="1:17" ht="16.5" hidden="1" outlineLevel="1">
      <c r="A869" s="125" t="s">
        <v>774</v>
      </c>
      <c r="B869" s="391" t="s">
        <v>514</v>
      </c>
      <c r="C869" s="72" t="s">
        <v>388</v>
      </c>
      <c r="D869" s="72" t="s">
        <v>382</v>
      </c>
      <c r="E869" s="72"/>
      <c r="F869" s="72"/>
      <c r="G869" s="72"/>
      <c r="H869" s="72"/>
      <c r="I869" s="72"/>
      <c r="J869" s="72"/>
      <c r="K869" s="72"/>
      <c r="L869" s="391" t="s">
        <v>719</v>
      </c>
      <c r="M869" s="391" t="s">
        <v>636</v>
      </c>
      <c r="N869" s="417">
        <v>457.77</v>
      </c>
      <c r="O869" s="417">
        <v>457.77</v>
      </c>
      <c r="P869" s="417"/>
      <c r="Q869" s="595">
        <f t="shared" si="14"/>
        <v>0</v>
      </c>
    </row>
    <row r="870" spans="1:17" ht="16.5" hidden="1" outlineLevel="1">
      <c r="A870" s="125" t="s">
        <v>775</v>
      </c>
      <c r="B870" s="391" t="s">
        <v>514</v>
      </c>
      <c r="C870" s="72" t="s">
        <v>388</v>
      </c>
      <c r="D870" s="72" t="s">
        <v>382</v>
      </c>
      <c r="E870" s="72"/>
      <c r="F870" s="72"/>
      <c r="G870" s="72"/>
      <c r="H870" s="72"/>
      <c r="I870" s="72"/>
      <c r="J870" s="72"/>
      <c r="K870" s="72"/>
      <c r="L870" s="391" t="s">
        <v>719</v>
      </c>
      <c r="M870" s="391" t="s">
        <v>637</v>
      </c>
      <c r="N870" s="417">
        <v>138.25</v>
      </c>
      <c r="O870" s="417">
        <v>138.25</v>
      </c>
      <c r="P870" s="417"/>
      <c r="Q870" s="595">
        <f t="shared" si="14"/>
        <v>0</v>
      </c>
    </row>
    <row r="871" spans="1:17" s="79" customFormat="1" ht="31.5" outlineLevel="1">
      <c r="A871" s="252" t="s">
        <v>894</v>
      </c>
      <c r="B871" s="362" t="s">
        <v>514</v>
      </c>
      <c r="C871" s="358" t="s">
        <v>483</v>
      </c>
      <c r="D871" s="358" t="s">
        <v>387</v>
      </c>
      <c r="E871" s="358" t="s">
        <v>770</v>
      </c>
      <c r="F871" s="358" t="s">
        <v>478</v>
      </c>
      <c r="G871" s="358" t="s">
        <v>789</v>
      </c>
      <c r="H871" s="358" t="s">
        <v>481</v>
      </c>
      <c r="I871" s="358" t="s">
        <v>770</v>
      </c>
      <c r="J871" s="358" t="s">
        <v>478</v>
      </c>
      <c r="K871" s="358" t="s">
        <v>480</v>
      </c>
      <c r="L871" s="362" t="s">
        <v>369</v>
      </c>
      <c r="M871" s="362"/>
      <c r="N871" s="363">
        <v>100.43</v>
      </c>
      <c r="O871" s="363">
        <v>132.52</v>
      </c>
      <c r="P871" s="363">
        <v>132.52</v>
      </c>
      <c r="Q871" s="595">
        <f t="shared" si="14"/>
        <v>1</v>
      </c>
    </row>
    <row r="872" spans="1:17" ht="16.5" hidden="1" outlineLevel="1">
      <c r="A872" s="125" t="s">
        <v>784</v>
      </c>
      <c r="B872" s="391" t="s">
        <v>514</v>
      </c>
      <c r="C872" s="72" t="s">
        <v>388</v>
      </c>
      <c r="D872" s="72" t="s">
        <v>382</v>
      </c>
      <c r="E872" s="72"/>
      <c r="F872" s="72"/>
      <c r="G872" s="72"/>
      <c r="H872" s="72"/>
      <c r="I872" s="72"/>
      <c r="J872" s="72"/>
      <c r="K872" s="72"/>
      <c r="L872" s="391" t="s">
        <v>719</v>
      </c>
      <c r="M872" s="391" t="s">
        <v>645</v>
      </c>
      <c r="N872" s="417"/>
      <c r="O872" s="417"/>
      <c r="P872" s="417"/>
      <c r="Q872" s="595" t="e">
        <f t="shared" si="14"/>
        <v>#DIV/0!</v>
      </c>
    </row>
    <row r="873" spans="1:17" ht="16.5" hidden="1" outlineLevel="1">
      <c r="A873" s="125" t="s">
        <v>855</v>
      </c>
      <c r="B873" s="391" t="s">
        <v>514</v>
      </c>
      <c r="C873" s="72" t="s">
        <v>388</v>
      </c>
      <c r="D873" s="72" t="s">
        <v>382</v>
      </c>
      <c r="E873" s="72"/>
      <c r="F873" s="72"/>
      <c r="G873" s="72"/>
      <c r="H873" s="72"/>
      <c r="I873" s="72"/>
      <c r="J873" s="72"/>
      <c r="K873" s="72"/>
      <c r="L873" s="391" t="s">
        <v>719</v>
      </c>
      <c r="M873" s="391" t="s">
        <v>680</v>
      </c>
      <c r="N873" s="417">
        <v>100.43</v>
      </c>
      <c r="O873" s="417">
        <v>100.43</v>
      </c>
      <c r="P873" s="417"/>
      <c r="Q873" s="595">
        <f t="shared" si="14"/>
        <v>0</v>
      </c>
    </row>
    <row r="874" spans="1:17" s="79" customFormat="1" ht="31.5" outlineLevel="1">
      <c r="A874" s="252" t="s">
        <v>856</v>
      </c>
      <c r="B874" s="362" t="s">
        <v>514</v>
      </c>
      <c r="C874" s="358" t="s">
        <v>388</v>
      </c>
      <c r="D874" s="358" t="s">
        <v>382</v>
      </c>
      <c r="E874" s="358" t="s">
        <v>770</v>
      </c>
      <c r="F874" s="358" t="s">
        <v>478</v>
      </c>
      <c r="G874" s="358" t="s">
        <v>789</v>
      </c>
      <c r="H874" s="358" t="s">
        <v>481</v>
      </c>
      <c r="I874" s="358" t="s">
        <v>770</v>
      </c>
      <c r="J874" s="358" t="s">
        <v>478</v>
      </c>
      <c r="K874" s="358" t="s">
        <v>481</v>
      </c>
      <c r="L874" s="362" t="s">
        <v>369</v>
      </c>
      <c r="M874" s="362"/>
      <c r="N874" s="363">
        <v>37.38</v>
      </c>
      <c r="O874" s="363">
        <v>24.05</v>
      </c>
      <c r="P874" s="363">
        <v>24.05</v>
      </c>
      <c r="Q874" s="595">
        <f t="shared" si="14"/>
        <v>1</v>
      </c>
    </row>
    <row r="875" spans="1:17" ht="31.5" hidden="1" outlineLevel="1">
      <c r="A875" s="125" t="s">
        <v>787</v>
      </c>
      <c r="B875" s="391" t="s">
        <v>514</v>
      </c>
      <c r="C875" s="358" t="s">
        <v>388</v>
      </c>
      <c r="D875" s="358" t="s">
        <v>382</v>
      </c>
      <c r="E875" s="358"/>
      <c r="F875" s="358"/>
      <c r="G875" s="358"/>
      <c r="H875" s="358"/>
      <c r="I875" s="358"/>
      <c r="J875" s="358"/>
      <c r="K875" s="358"/>
      <c r="L875" s="391" t="s">
        <v>719</v>
      </c>
      <c r="M875" s="391" t="s">
        <v>648</v>
      </c>
      <c r="N875" s="417">
        <v>37.38</v>
      </c>
      <c r="O875" s="417">
        <v>37.38</v>
      </c>
      <c r="P875" s="417"/>
      <c r="Q875" s="595">
        <f t="shared" si="14"/>
        <v>0</v>
      </c>
    </row>
    <row r="876" spans="1:17" s="79" customFormat="1" ht="31.5" outlineLevel="1">
      <c r="A876" s="252" t="s">
        <v>857</v>
      </c>
      <c r="B876" s="358" t="s">
        <v>514</v>
      </c>
      <c r="C876" s="358" t="s">
        <v>388</v>
      </c>
      <c r="D876" s="358" t="s">
        <v>382</v>
      </c>
      <c r="E876" s="72" t="s">
        <v>770</v>
      </c>
      <c r="F876" s="72" t="s">
        <v>528</v>
      </c>
      <c r="G876" s="72" t="s">
        <v>478</v>
      </c>
      <c r="H876" s="72" t="s">
        <v>770</v>
      </c>
      <c r="I876" s="72" t="s">
        <v>528</v>
      </c>
      <c r="J876" s="72" t="s">
        <v>770</v>
      </c>
      <c r="K876" s="72" t="s">
        <v>479</v>
      </c>
      <c r="L876" s="362" t="s">
        <v>369</v>
      </c>
      <c r="M876" s="362"/>
      <c r="N876" s="363">
        <f>35.65+3.5</f>
        <v>39.15</v>
      </c>
      <c r="O876" s="363">
        <v>308.78</v>
      </c>
      <c r="P876" s="363">
        <v>308.78</v>
      </c>
      <c r="Q876" s="595">
        <f t="shared" si="14"/>
        <v>1</v>
      </c>
    </row>
    <row r="877" spans="1:17" ht="31.5" hidden="1" outlineLevel="1">
      <c r="A877" s="125" t="s">
        <v>787</v>
      </c>
      <c r="B877" s="72" t="s">
        <v>514</v>
      </c>
      <c r="C877" s="72" t="s">
        <v>388</v>
      </c>
      <c r="D877" s="72" t="s">
        <v>382</v>
      </c>
      <c r="E877" s="72"/>
      <c r="F877" s="72"/>
      <c r="G877" s="72"/>
      <c r="H877" s="72"/>
      <c r="I877" s="72"/>
      <c r="J877" s="72"/>
      <c r="K877" s="72"/>
      <c r="L877" s="391" t="s">
        <v>719</v>
      </c>
      <c r="M877" s="391" t="s">
        <v>648</v>
      </c>
      <c r="N877" s="417">
        <v>35.65</v>
      </c>
      <c r="O877" s="417">
        <v>35.65</v>
      </c>
      <c r="P877" s="417"/>
      <c r="Q877" s="595">
        <f t="shared" si="14"/>
        <v>0</v>
      </c>
    </row>
    <row r="878" spans="1:17" s="79" customFormat="1" ht="31.5" outlineLevel="1">
      <c r="A878" s="252" t="s">
        <v>895</v>
      </c>
      <c r="B878" s="358" t="s">
        <v>514</v>
      </c>
      <c r="C878" s="358" t="s">
        <v>388</v>
      </c>
      <c r="D878" s="358" t="s">
        <v>382</v>
      </c>
      <c r="E878" s="72" t="s">
        <v>770</v>
      </c>
      <c r="F878" s="72" t="s">
        <v>528</v>
      </c>
      <c r="G878" s="72" t="s">
        <v>478</v>
      </c>
      <c r="H878" s="72" t="s">
        <v>770</v>
      </c>
      <c r="I878" s="72" t="s">
        <v>528</v>
      </c>
      <c r="J878" s="72" t="s">
        <v>770</v>
      </c>
      <c r="K878" s="72" t="s">
        <v>480</v>
      </c>
      <c r="L878" s="362" t="s">
        <v>369</v>
      </c>
      <c r="M878" s="362"/>
      <c r="N878" s="363">
        <f>332.7+89.22</f>
        <v>421.91999999999996</v>
      </c>
      <c r="O878" s="363">
        <f>163.94+143.42</f>
        <v>307.36</v>
      </c>
      <c r="P878" s="363">
        <f>307.36</f>
        <v>307.36</v>
      </c>
      <c r="Q878" s="595">
        <f t="shared" si="14"/>
        <v>1</v>
      </c>
    </row>
    <row r="879" spans="1:17" ht="16.5" hidden="1" outlineLevel="1">
      <c r="A879" s="125" t="s">
        <v>774</v>
      </c>
      <c r="B879" s="391" t="s">
        <v>514</v>
      </c>
      <c r="C879" s="391" t="s">
        <v>388</v>
      </c>
      <c r="D879" s="391" t="s">
        <v>382</v>
      </c>
      <c r="E879" s="391"/>
      <c r="F879" s="391"/>
      <c r="G879" s="391"/>
      <c r="H879" s="391"/>
      <c r="I879" s="391"/>
      <c r="J879" s="391"/>
      <c r="K879" s="391"/>
      <c r="L879" s="391" t="s">
        <v>639</v>
      </c>
      <c r="M879" s="391" t="s">
        <v>636</v>
      </c>
      <c r="N879" s="417">
        <v>131.95</v>
      </c>
      <c r="O879" s="417">
        <v>131.95</v>
      </c>
      <c r="P879" s="417"/>
      <c r="Q879" s="595">
        <f t="shared" si="14"/>
        <v>0</v>
      </c>
    </row>
    <row r="880" spans="1:17" ht="16.5" hidden="1" outlineLevel="1">
      <c r="A880" s="125" t="s">
        <v>775</v>
      </c>
      <c r="B880" s="391" t="s">
        <v>514</v>
      </c>
      <c r="C880" s="391" t="s">
        <v>388</v>
      </c>
      <c r="D880" s="391" t="s">
        <v>382</v>
      </c>
      <c r="E880" s="391"/>
      <c r="F880" s="391"/>
      <c r="G880" s="391"/>
      <c r="H880" s="391"/>
      <c r="I880" s="391"/>
      <c r="J880" s="391"/>
      <c r="K880" s="391"/>
      <c r="L880" s="391" t="s">
        <v>639</v>
      </c>
      <c r="M880" s="391" t="s">
        <v>637</v>
      </c>
      <c r="N880" s="417">
        <v>39.85</v>
      </c>
      <c r="O880" s="417">
        <v>39.85</v>
      </c>
      <c r="P880" s="417"/>
      <c r="Q880" s="595">
        <f t="shared" si="14"/>
        <v>0</v>
      </c>
    </row>
    <row r="881" spans="1:17" ht="31.5" hidden="1" outlineLevel="1">
      <c r="A881" s="125" t="s">
        <v>787</v>
      </c>
      <c r="B881" s="391" t="s">
        <v>514</v>
      </c>
      <c r="C881" s="391" t="s">
        <v>388</v>
      </c>
      <c r="D881" s="391" t="s">
        <v>382</v>
      </c>
      <c r="E881" s="391"/>
      <c r="F881" s="391"/>
      <c r="G881" s="391"/>
      <c r="H881" s="391"/>
      <c r="I881" s="391"/>
      <c r="J881" s="391"/>
      <c r="K881" s="391"/>
      <c r="L881" s="391" t="s">
        <v>639</v>
      </c>
      <c r="M881" s="391" t="s">
        <v>648</v>
      </c>
      <c r="N881" s="417">
        <v>160.9</v>
      </c>
      <c r="O881" s="417">
        <v>160.9</v>
      </c>
      <c r="P881" s="417"/>
      <c r="Q881" s="595">
        <f t="shared" si="14"/>
        <v>0</v>
      </c>
    </row>
    <row r="882" spans="1:17" ht="141.75" outlineLevel="1">
      <c r="A882" s="125" t="s">
        <v>952</v>
      </c>
      <c r="B882" s="391" t="s">
        <v>514</v>
      </c>
      <c r="C882" s="391" t="s">
        <v>388</v>
      </c>
      <c r="D882" s="391" t="s">
        <v>382</v>
      </c>
      <c r="E882" s="391" t="s">
        <v>552</v>
      </c>
      <c r="F882" s="391" t="s">
        <v>552</v>
      </c>
      <c r="G882" s="391" t="s">
        <v>528</v>
      </c>
      <c r="H882" s="391" t="s">
        <v>552</v>
      </c>
      <c r="I882" s="391" t="s">
        <v>770</v>
      </c>
      <c r="J882" s="391" t="s">
        <v>770</v>
      </c>
      <c r="K882" s="391" t="s">
        <v>528</v>
      </c>
      <c r="L882" s="391" t="s">
        <v>778</v>
      </c>
      <c r="M882" s="391"/>
      <c r="N882" s="417">
        <v>0</v>
      </c>
      <c r="O882" s="417">
        <v>55</v>
      </c>
      <c r="P882" s="417">
        <v>55</v>
      </c>
      <c r="Q882" s="595">
        <f t="shared" si="14"/>
        <v>1</v>
      </c>
    </row>
    <row r="883" spans="1:17" ht="45" outlineLevel="1">
      <c r="A883" s="51" t="s">
        <v>866</v>
      </c>
      <c r="B883" s="73" t="s">
        <v>514</v>
      </c>
      <c r="C883" s="73" t="s">
        <v>388</v>
      </c>
      <c r="D883" s="73" t="s">
        <v>385</v>
      </c>
      <c r="E883" s="391" t="s">
        <v>770</v>
      </c>
      <c r="F883" s="391" t="s">
        <v>528</v>
      </c>
      <c r="G883" s="391" t="s">
        <v>546</v>
      </c>
      <c r="H883" s="391" t="s">
        <v>770</v>
      </c>
      <c r="I883" s="391" t="s">
        <v>528</v>
      </c>
      <c r="J883" s="391" t="s">
        <v>770</v>
      </c>
      <c r="K883" s="391" t="s">
        <v>546</v>
      </c>
      <c r="L883" s="73" t="s">
        <v>778</v>
      </c>
      <c r="M883" s="73"/>
      <c r="N883" s="371"/>
      <c r="O883" s="569">
        <v>20</v>
      </c>
      <c r="P883" s="569">
        <v>20</v>
      </c>
      <c r="Q883" s="595">
        <f t="shared" si="14"/>
        <v>1</v>
      </c>
    </row>
    <row r="884" spans="1:17" s="397" customFormat="1" ht="39.75" customHeight="1" outlineLevel="1">
      <c r="A884" s="418" t="s">
        <v>903</v>
      </c>
      <c r="B884" s="419" t="s">
        <v>514</v>
      </c>
      <c r="C884" s="419"/>
      <c r="D884" s="419"/>
      <c r="E884" s="419"/>
      <c r="F884" s="419"/>
      <c r="G884" s="419"/>
      <c r="H884" s="419"/>
      <c r="I884" s="419"/>
      <c r="J884" s="419"/>
      <c r="K884" s="419"/>
      <c r="L884" s="419"/>
      <c r="M884" s="419"/>
      <c r="N884" s="420">
        <f>N888+N892+N906+N912+N915+N918+N920+N922</f>
        <v>10291.199999999999</v>
      </c>
      <c r="O884" s="420">
        <f>O885</f>
        <v>11332.98</v>
      </c>
      <c r="P884" s="420">
        <f>P885</f>
        <v>11160.22</v>
      </c>
      <c r="Q884" s="595">
        <f t="shared" si="14"/>
        <v>0.9847559953339722</v>
      </c>
    </row>
    <row r="885" spans="1:17" ht="16.5" outlineLevel="1">
      <c r="A885" s="125" t="s">
        <v>509</v>
      </c>
      <c r="B885" s="391" t="s">
        <v>514</v>
      </c>
      <c r="C885" s="391" t="s">
        <v>388</v>
      </c>
      <c r="D885" s="391"/>
      <c r="E885" s="391"/>
      <c r="F885" s="391"/>
      <c r="G885" s="391"/>
      <c r="H885" s="391"/>
      <c r="I885" s="391"/>
      <c r="J885" s="391"/>
      <c r="K885" s="391"/>
      <c r="L885" s="391"/>
      <c r="M885" s="391"/>
      <c r="N885" s="417">
        <v>9986.659999999998</v>
      </c>
      <c r="O885" s="417">
        <f>O886</f>
        <v>11332.98</v>
      </c>
      <c r="P885" s="417">
        <f>P886</f>
        <v>11160.22</v>
      </c>
      <c r="Q885" s="595">
        <f t="shared" si="14"/>
        <v>0.9847559953339722</v>
      </c>
    </row>
    <row r="886" spans="1:17" ht="16.5" outlineLevel="1">
      <c r="A886" s="125" t="s">
        <v>512</v>
      </c>
      <c r="B886" s="391" t="s">
        <v>514</v>
      </c>
      <c r="C886" s="391" t="s">
        <v>388</v>
      </c>
      <c r="D886" s="391" t="s">
        <v>382</v>
      </c>
      <c r="E886" s="391"/>
      <c r="F886" s="391"/>
      <c r="G886" s="391"/>
      <c r="H886" s="391"/>
      <c r="I886" s="391"/>
      <c r="J886" s="391"/>
      <c r="K886" s="391"/>
      <c r="L886" s="391"/>
      <c r="M886" s="391"/>
      <c r="N886" s="417">
        <v>9986.659999999998</v>
      </c>
      <c r="O886" s="417">
        <f>O887+O906+O912+O915+O918+O920+O922+O926+O927+O928</f>
        <v>11332.98</v>
      </c>
      <c r="P886" s="417">
        <f>P887+P906+P912+P915+P918+P920+P922+P926+P927+P928</f>
        <v>11160.22</v>
      </c>
      <c r="Q886" s="595">
        <f t="shared" si="14"/>
        <v>0.9847559953339722</v>
      </c>
    </row>
    <row r="887" spans="1:17" ht="47.25" outlineLevel="1">
      <c r="A887" s="125" t="s">
        <v>892</v>
      </c>
      <c r="B887" s="391" t="s">
        <v>514</v>
      </c>
      <c r="C887" s="391" t="s">
        <v>388</v>
      </c>
      <c r="D887" s="391" t="s">
        <v>382</v>
      </c>
      <c r="E887" s="391" t="s">
        <v>770</v>
      </c>
      <c r="F887" s="391" t="s">
        <v>528</v>
      </c>
      <c r="G887" s="391"/>
      <c r="H887" s="391"/>
      <c r="I887" s="391"/>
      <c r="J887" s="391"/>
      <c r="K887" s="391"/>
      <c r="L887" s="391" t="s">
        <v>369</v>
      </c>
      <c r="M887" s="391"/>
      <c r="N887" s="417">
        <f>N888+N892</f>
        <v>1383.87</v>
      </c>
      <c r="O887" s="417">
        <f>O888+O892</f>
        <v>1643.31</v>
      </c>
      <c r="P887" s="417">
        <f>P888+P892</f>
        <v>1643.31</v>
      </c>
      <c r="Q887" s="595">
        <f t="shared" si="14"/>
        <v>1</v>
      </c>
    </row>
    <row r="888" spans="1:17" ht="31.5" outlineLevel="1">
      <c r="A888" s="125" t="s">
        <v>850</v>
      </c>
      <c r="B888" s="391" t="s">
        <v>514</v>
      </c>
      <c r="C888" s="391" t="s">
        <v>388</v>
      </c>
      <c r="D888" s="391" t="s">
        <v>382</v>
      </c>
      <c r="E888" s="391" t="s">
        <v>770</v>
      </c>
      <c r="F888" s="391" t="s">
        <v>528</v>
      </c>
      <c r="G888" s="391" t="s">
        <v>478</v>
      </c>
      <c r="H888" s="391" t="s">
        <v>770</v>
      </c>
      <c r="I888" s="391" t="s">
        <v>528</v>
      </c>
      <c r="J888" s="391" t="s">
        <v>770</v>
      </c>
      <c r="K888" s="391" t="s">
        <v>528</v>
      </c>
      <c r="L888" s="391" t="s">
        <v>773</v>
      </c>
      <c r="M888" s="391"/>
      <c r="N888" s="417">
        <v>704.02</v>
      </c>
      <c r="O888" s="417">
        <v>752.81</v>
      </c>
      <c r="P888" s="417">
        <v>752.81</v>
      </c>
      <c r="Q888" s="595">
        <f t="shared" si="14"/>
        <v>1</v>
      </c>
    </row>
    <row r="889" spans="1:17" ht="16.5" hidden="1" outlineLevel="1">
      <c r="A889" s="125" t="s">
        <v>774</v>
      </c>
      <c r="B889" s="391" t="s">
        <v>514</v>
      </c>
      <c r="C889" s="391" t="s">
        <v>388</v>
      </c>
      <c r="D889" s="391" t="s">
        <v>382</v>
      </c>
      <c r="E889" s="391"/>
      <c r="F889" s="391"/>
      <c r="G889" s="391"/>
      <c r="H889" s="391"/>
      <c r="I889" s="391"/>
      <c r="J889" s="391"/>
      <c r="K889" s="391"/>
      <c r="L889" s="391" t="s">
        <v>735</v>
      </c>
      <c r="M889" s="391" t="s">
        <v>636</v>
      </c>
      <c r="N889" s="417">
        <v>366.6</v>
      </c>
      <c r="O889" s="417">
        <v>366.6</v>
      </c>
      <c r="P889" s="417"/>
      <c r="Q889" s="595">
        <f t="shared" si="14"/>
        <v>0</v>
      </c>
    </row>
    <row r="890" spans="1:17" ht="16.5" hidden="1" outlineLevel="1">
      <c r="A890" s="125" t="s">
        <v>776</v>
      </c>
      <c r="B890" s="391" t="s">
        <v>514</v>
      </c>
      <c r="C890" s="391" t="s">
        <v>388</v>
      </c>
      <c r="D890" s="391" t="s">
        <v>382</v>
      </c>
      <c r="E890" s="391"/>
      <c r="F890" s="391"/>
      <c r="G890" s="391"/>
      <c r="H890" s="391"/>
      <c r="I890" s="391"/>
      <c r="J890" s="391"/>
      <c r="K890" s="391"/>
      <c r="L890" s="391" t="s">
        <v>676</v>
      </c>
      <c r="M890" s="391" t="s">
        <v>660</v>
      </c>
      <c r="N890" s="417"/>
      <c r="O890" s="417"/>
      <c r="P890" s="417"/>
      <c r="Q890" s="595" t="e">
        <f t="shared" si="14"/>
        <v>#DIV/0!</v>
      </c>
    </row>
    <row r="891" spans="1:17" ht="16.5" hidden="1" outlineLevel="1">
      <c r="A891" s="125" t="s">
        <v>775</v>
      </c>
      <c r="B891" s="391" t="s">
        <v>514</v>
      </c>
      <c r="C891" s="391" t="s">
        <v>388</v>
      </c>
      <c r="D891" s="391" t="s">
        <v>382</v>
      </c>
      <c r="E891" s="391"/>
      <c r="F891" s="391"/>
      <c r="G891" s="391"/>
      <c r="H891" s="391"/>
      <c r="I891" s="391"/>
      <c r="J891" s="391"/>
      <c r="K891" s="391"/>
      <c r="L891" s="391" t="s">
        <v>735</v>
      </c>
      <c r="M891" s="391" t="s">
        <v>637</v>
      </c>
      <c r="N891" s="417">
        <v>110.71</v>
      </c>
      <c r="O891" s="417">
        <v>110.71</v>
      </c>
      <c r="P891" s="417"/>
      <c r="Q891" s="595">
        <f t="shared" si="14"/>
        <v>0</v>
      </c>
    </row>
    <row r="892" spans="1:17" ht="31.5" outlineLevel="1">
      <c r="A892" s="125" t="s">
        <v>777</v>
      </c>
      <c r="B892" s="391" t="s">
        <v>514</v>
      </c>
      <c r="C892" s="391" t="s">
        <v>388</v>
      </c>
      <c r="D892" s="391" t="s">
        <v>382</v>
      </c>
      <c r="E892" s="391" t="s">
        <v>770</v>
      </c>
      <c r="F892" s="391" t="s">
        <v>528</v>
      </c>
      <c r="G892" s="391" t="s">
        <v>478</v>
      </c>
      <c r="H892" s="391" t="s">
        <v>770</v>
      </c>
      <c r="I892" s="391" t="s">
        <v>528</v>
      </c>
      <c r="J892" s="391" t="s">
        <v>770</v>
      </c>
      <c r="K892" s="391" t="s">
        <v>478</v>
      </c>
      <c r="L892" s="391" t="s">
        <v>778</v>
      </c>
      <c r="M892" s="391"/>
      <c r="N892" s="417">
        <v>679.8499999999999</v>
      </c>
      <c r="O892" s="417">
        <v>890.5</v>
      </c>
      <c r="P892" s="417">
        <v>890.5</v>
      </c>
      <c r="Q892" s="595">
        <f t="shared" si="14"/>
        <v>1</v>
      </c>
    </row>
    <row r="893" spans="1:17" ht="16.5" hidden="1" outlineLevel="1">
      <c r="A893" s="125" t="s">
        <v>779</v>
      </c>
      <c r="B893" s="391" t="s">
        <v>514</v>
      </c>
      <c r="C893" s="391" t="s">
        <v>388</v>
      </c>
      <c r="D893" s="391" t="s">
        <v>382</v>
      </c>
      <c r="E893" s="391"/>
      <c r="F893" s="391"/>
      <c r="G893" s="391"/>
      <c r="H893" s="391"/>
      <c r="I893" s="391"/>
      <c r="J893" s="391"/>
      <c r="K893" s="391"/>
      <c r="L893" s="391" t="s">
        <v>639</v>
      </c>
      <c r="M893" s="391" t="s">
        <v>640</v>
      </c>
      <c r="N893" s="417">
        <v>21.4</v>
      </c>
      <c r="O893" s="417">
        <v>21.4</v>
      </c>
      <c r="P893" s="417"/>
      <c r="Q893" s="595">
        <f t="shared" si="14"/>
        <v>0</v>
      </c>
    </row>
    <row r="894" spans="1:17" ht="16.5" hidden="1" outlineLevel="1">
      <c r="A894" s="125" t="s">
        <v>780</v>
      </c>
      <c r="B894" s="391" t="s">
        <v>514</v>
      </c>
      <c r="C894" s="391" t="s">
        <v>388</v>
      </c>
      <c r="D894" s="391" t="s">
        <v>382</v>
      </c>
      <c r="E894" s="391"/>
      <c r="F894" s="391"/>
      <c r="G894" s="391"/>
      <c r="H894" s="391"/>
      <c r="I894" s="391"/>
      <c r="J894" s="391"/>
      <c r="K894" s="391"/>
      <c r="L894" s="391" t="s">
        <v>639</v>
      </c>
      <c r="M894" s="391" t="s">
        <v>641</v>
      </c>
      <c r="N894" s="417"/>
      <c r="O894" s="417"/>
      <c r="P894" s="417"/>
      <c r="Q894" s="595" t="e">
        <f t="shared" si="14"/>
        <v>#DIV/0!</v>
      </c>
    </row>
    <row r="895" spans="1:17" ht="16.5" hidden="1" outlineLevel="1">
      <c r="A895" s="125" t="s">
        <v>781</v>
      </c>
      <c r="B895" s="391" t="s">
        <v>514</v>
      </c>
      <c r="C895" s="391" t="s">
        <v>388</v>
      </c>
      <c r="D895" s="391" t="s">
        <v>382</v>
      </c>
      <c r="E895" s="391"/>
      <c r="F895" s="391"/>
      <c r="G895" s="391"/>
      <c r="H895" s="391"/>
      <c r="I895" s="391"/>
      <c r="J895" s="391"/>
      <c r="K895" s="391"/>
      <c r="L895" s="391" t="s">
        <v>639</v>
      </c>
      <c r="M895" s="391" t="s">
        <v>642</v>
      </c>
      <c r="N895" s="417">
        <v>399.97</v>
      </c>
      <c r="O895" s="417">
        <v>399.97</v>
      </c>
      <c r="P895" s="417"/>
      <c r="Q895" s="595">
        <f t="shared" si="14"/>
        <v>0</v>
      </c>
    </row>
    <row r="896" spans="1:17" ht="16.5" hidden="1" outlineLevel="1">
      <c r="A896" s="125" t="s">
        <v>782</v>
      </c>
      <c r="B896" s="391" t="s">
        <v>514</v>
      </c>
      <c r="C896" s="391" t="s">
        <v>388</v>
      </c>
      <c r="D896" s="391" t="s">
        <v>382</v>
      </c>
      <c r="E896" s="391"/>
      <c r="F896" s="391"/>
      <c r="G896" s="391"/>
      <c r="H896" s="391"/>
      <c r="I896" s="391"/>
      <c r="J896" s="391"/>
      <c r="K896" s="391"/>
      <c r="L896" s="391" t="s">
        <v>639</v>
      </c>
      <c r="M896" s="391" t="s">
        <v>643</v>
      </c>
      <c r="N896" s="417"/>
      <c r="O896" s="417"/>
      <c r="P896" s="417"/>
      <c r="Q896" s="595" t="e">
        <f t="shared" si="14"/>
        <v>#DIV/0!</v>
      </c>
    </row>
    <row r="897" spans="1:17" ht="16.5" hidden="1" outlineLevel="1">
      <c r="A897" s="125" t="s">
        <v>783</v>
      </c>
      <c r="B897" s="391" t="s">
        <v>514</v>
      </c>
      <c r="C897" s="391" t="s">
        <v>388</v>
      </c>
      <c r="D897" s="391" t="s">
        <v>382</v>
      </c>
      <c r="E897" s="391"/>
      <c r="F897" s="391"/>
      <c r="G897" s="391"/>
      <c r="H897" s="391"/>
      <c r="I897" s="391"/>
      <c r="J897" s="391"/>
      <c r="K897" s="391"/>
      <c r="L897" s="391" t="s">
        <v>639</v>
      </c>
      <c r="M897" s="391" t="s">
        <v>644</v>
      </c>
      <c r="N897" s="417">
        <v>48.35</v>
      </c>
      <c r="O897" s="417">
        <v>48.35</v>
      </c>
      <c r="P897" s="417"/>
      <c r="Q897" s="595">
        <f t="shared" si="14"/>
        <v>0</v>
      </c>
    </row>
    <row r="898" spans="1:17" ht="16.5" hidden="1" outlineLevel="1">
      <c r="A898" s="125" t="s">
        <v>784</v>
      </c>
      <c r="B898" s="391" t="s">
        <v>514</v>
      </c>
      <c r="C898" s="391" t="s">
        <v>388</v>
      </c>
      <c r="D898" s="391" t="s">
        <v>382</v>
      </c>
      <c r="E898" s="391"/>
      <c r="F898" s="391"/>
      <c r="G898" s="391"/>
      <c r="H898" s="391"/>
      <c r="I898" s="391"/>
      <c r="J898" s="391"/>
      <c r="K898" s="391"/>
      <c r="L898" s="391" t="s">
        <v>639</v>
      </c>
      <c r="M898" s="391" t="s">
        <v>645</v>
      </c>
      <c r="N898" s="417">
        <v>99.55</v>
      </c>
      <c r="O898" s="417">
        <v>99.55</v>
      </c>
      <c r="P898" s="417"/>
      <c r="Q898" s="595">
        <f t="shared" si="14"/>
        <v>0</v>
      </c>
    </row>
    <row r="899" spans="1:17" ht="16.5" hidden="1" outlineLevel="1">
      <c r="A899" s="125" t="s">
        <v>785</v>
      </c>
      <c r="B899" s="391" t="s">
        <v>514</v>
      </c>
      <c r="C899" s="391" t="s">
        <v>388</v>
      </c>
      <c r="D899" s="391" t="s">
        <v>382</v>
      </c>
      <c r="E899" s="391"/>
      <c r="F899" s="391"/>
      <c r="G899" s="391"/>
      <c r="H899" s="391"/>
      <c r="I899" s="391"/>
      <c r="J899" s="391"/>
      <c r="K899" s="391"/>
      <c r="L899" s="391" t="s">
        <v>639</v>
      </c>
      <c r="M899" s="391" t="s">
        <v>646</v>
      </c>
      <c r="N899" s="417">
        <v>14.51</v>
      </c>
      <c r="O899" s="417">
        <v>14.51</v>
      </c>
      <c r="P899" s="417"/>
      <c r="Q899" s="595">
        <f t="shared" si="14"/>
        <v>0</v>
      </c>
    </row>
    <row r="900" spans="1:17" ht="16.5" hidden="1" outlineLevel="1">
      <c r="A900" s="125" t="s">
        <v>786</v>
      </c>
      <c r="B900" s="391" t="s">
        <v>514</v>
      </c>
      <c r="C900" s="391" t="s">
        <v>388</v>
      </c>
      <c r="D900" s="391" t="s">
        <v>382</v>
      </c>
      <c r="E900" s="391"/>
      <c r="F900" s="391"/>
      <c r="G900" s="391"/>
      <c r="H900" s="391"/>
      <c r="I900" s="391"/>
      <c r="J900" s="391"/>
      <c r="K900" s="391"/>
      <c r="L900" s="391" t="s">
        <v>639</v>
      </c>
      <c r="M900" s="391" t="s">
        <v>647</v>
      </c>
      <c r="N900" s="417">
        <v>24</v>
      </c>
      <c r="O900" s="417">
        <v>24</v>
      </c>
      <c r="P900" s="417"/>
      <c r="Q900" s="595">
        <f t="shared" si="14"/>
        <v>0</v>
      </c>
    </row>
    <row r="901" spans="1:17" ht="31.5" hidden="1" outlineLevel="1">
      <c r="A901" s="125" t="s">
        <v>787</v>
      </c>
      <c r="B901" s="391" t="s">
        <v>514</v>
      </c>
      <c r="C901" s="391" t="s">
        <v>388</v>
      </c>
      <c r="D901" s="391" t="s">
        <v>382</v>
      </c>
      <c r="E901" s="391"/>
      <c r="F901" s="391"/>
      <c r="G901" s="391"/>
      <c r="H901" s="391"/>
      <c r="I901" s="391"/>
      <c r="J901" s="391"/>
      <c r="K901" s="391"/>
      <c r="L901" s="391" t="s">
        <v>639</v>
      </c>
      <c r="M901" s="391" t="s">
        <v>648</v>
      </c>
      <c r="N901" s="417">
        <v>72.07</v>
      </c>
      <c r="O901" s="417">
        <v>72.07</v>
      </c>
      <c r="P901" s="417"/>
      <c r="Q901" s="595">
        <f t="shared" si="14"/>
        <v>0</v>
      </c>
    </row>
    <row r="902" spans="1:17" ht="16.5" hidden="1" outlineLevel="2">
      <c r="A902" s="51" t="s">
        <v>510</v>
      </c>
      <c r="B902" s="48" t="s">
        <v>514</v>
      </c>
      <c r="C902" s="391" t="s">
        <v>483</v>
      </c>
      <c r="D902" s="391"/>
      <c r="E902" s="391"/>
      <c r="F902" s="391"/>
      <c r="G902" s="391"/>
      <c r="H902" s="391"/>
      <c r="I902" s="391"/>
      <c r="J902" s="391"/>
      <c r="K902" s="391"/>
      <c r="L902" s="48"/>
      <c r="M902" s="48"/>
      <c r="N902" s="49">
        <v>0</v>
      </c>
      <c r="O902" s="49">
        <v>0</v>
      </c>
      <c r="P902" s="49"/>
      <c r="Q902" s="595" t="e">
        <f t="shared" si="14"/>
        <v>#DIV/0!</v>
      </c>
    </row>
    <row r="903" spans="1:17" ht="16.5" hidden="1" outlineLevel="2">
      <c r="A903" s="51" t="s">
        <v>521</v>
      </c>
      <c r="B903" s="48" t="s">
        <v>514</v>
      </c>
      <c r="C903" s="391" t="s">
        <v>483</v>
      </c>
      <c r="D903" s="391" t="s">
        <v>391</v>
      </c>
      <c r="E903" s="391"/>
      <c r="F903" s="391"/>
      <c r="G903" s="391"/>
      <c r="H903" s="391"/>
      <c r="I903" s="391"/>
      <c r="J903" s="391"/>
      <c r="K903" s="391"/>
      <c r="L903" s="48"/>
      <c r="M903" s="135"/>
      <c r="N903" s="369">
        <v>0</v>
      </c>
      <c r="O903" s="369">
        <v>0</v>
      </c>
      <c r="P903" s="369"/>
      <c r="Q903" s="595" t="e">
        <f t="shared" si="14"/>
        <v>#DIV/0!</v>
      </c>
    </row>
    <row r="904" spans="1:17" ht="46.5" customHeight="1" hidden="1" outlineLevel="2">
      <c r="A904" s="51" t="s">
        <v>842</v>
      </c>
      <c r="B904" s="48" t="s">
        <v>514</v>
      </c>
      <c r="C904" s="391" t="s">
        <v>483</v>
      </c>
      <c r="D904" s="391" t="s">
        <v>391</v>
      </c>
      <c r="E904" s="391" t="s">
        <v>843</v>
      </c>
      <c r="F904" s="391"/>
      <c r="G904" s="391"/>
      <c r="H904" s="391"/>
      <c r="I904" s="391"/>
      <c r="J904" s="391"/>
      <c r="K904" s="391"/>
      <c r="L904" s="48" t="s">
        <v>844</v>
      </c>
      <c r="M904" s="48"/>
      <c r="N904" s="49"/>
      <c r="O904" s="49"/>
      <c r="P904" s="49"/>
      <c r="Q904" s="595" t="e">
        <f t="shared" si="14"/>
        <v>#DIV/0!</v>
      </c>
    </row>
    <row r="905" spans="1:17" ht="21" customHeight="1" hidden="1" outlineLevel="2">
      <c r="A905" s="51" t="s">
        <v>842</v>
      </c>
      <c r="B905" s="48" t="s">
        <v>514</v>
      </c>
      <c r="C905" s="391" t="s">
        <v>483</v>
      </c>
      <c r="D905" s="391" t="s">
        <v>391</v>
      </c>
      <c r="E905" s="391" t="s">
        <v>845</v>
      </c>
      <c r="F905" s="391"/>
      <c r="G905" s="391"/>
      <c r="H905" s="391"/>
      <c r="I905" s="391"/>
      <c r="J905" s="391"/>
      <c r="K905" s="391"/>
      <c r="L905" s="48" t="s">
        <v>844</v>
      </c>
      <c r="M905" s="48"/>
      <c r="N905" s="49"/>
      <c r="O905" s="49"/>
      <c r="P905" s="49"/>
      <c r="Q905" s="595" t="e">
        <f t="shared" si="14"/>
        <v>#DIV/0!</v>
      </c>
    </row>
    <row r="906" spans="1:17" s="79" customFormat="1" ht="32.25" customHeight="1" outlineLevel="2">
      <c r="A906" s="352" t="s">
        <v>893</v>
      </c>
      <c r="B906" s="353" t="s">
        <v>514</v>
      </c>
      <c r="C906" s="358" t="s">
        <v>388</v>
      </c>
      <c r="D906" s="358" t="s">
        <v>382</v>
      </c>
      <c r="E906" s="358" t="s">
        <v>770</v>
      </c>
      <c r="F906" s="358" t="s">
        <v>478</v>
      </c>
      <c r="G906" s="358" t="s">
        <v>789</v>
      </c>
      <c r="H906" s="358" t="s">
        <v>481</v>
      </c>
      <c r="I906" s="358" t="s">
        <v>770</v>
      </c>
      <c r="J906" s="358" t="s">
        <v>528</v>
      </c>
      <c r="K906" s="358" t="s">
        <v>480</v>
      </c>
      <c r="L906" s="353" t="s">
        <v>369</v>
      </c>
      <c r="M906" s="353"/>
      <c r="N906" s="359">
        <v>7701.02</v>
      </c>
      <c r="O906" s="359">
        <f>7668.84+358.29</f>
        <v>8027.13</v>
      </c>
      <c r="P906" s="359">
        <f>7496.08+358.29</f>
        <v>7854.37</v>
      </c>
      <c r="Q906" s="595">
        <f t="shared" si="14"/>
        <v>0.9784779865281863</v>
      </c>
    </row>
    <row r="907" spans="1:17" ht="18.75" customHeight="1" hidden="1" outlineLevel="2">
      <c r="A907" s="51" t="s">
        <v>774</v>
      </c>
      <c r="B907" s="48" t="s">
        <v>514</v>
      </c>
      <c r="C907" s="72" t="s">
        <v>388</v>
      </c>
      <c r="D907" s="72" t="s">
        <v>382</v>
      </c>
      <c r="E907" s="72"/>
      <c r="F907" s="72"/>
      <c r="G907" s="72"/>
      <c r="H907" s="72"/>
      <c r="I907" s="72"/>
      <c r="J907" s="72"/>
      <c r="K907" s="72"/>
      <c r="L907" s="48" t="s">
        <v>735</v>
      </c>
      <c r="M907" s="48" t="s">
        <v>636</v>
      </c>
      <c r="N907" s="49">
        <v>5363.46</v>
      </c>
      <c r="O907" s="49">
        <v>5363.46</v>
      </c>
      <c r="P907" s="49"/>
      <c r="Q907" s="595">
        <f t="shared" si="14"/>
        <v>0</v>
      </c>
    </row>
    <row r="908" spans="1:17" ht="16.5" hidden="1" outlineLevel="2">
      <c r="A908" s="51" t="s">
        <v>775</v>
      </c>
      <c r="B908" s="48" t="s">
        <v>514</v>
      </c>
      <c r="C908" s="72" t="s">
        <v>388</v>
      </c>
      <c r="D908" s="72" t="s">
        <v>382</v>
      </c>
      <c r="E908" s="72"/>
      <c r="F908" s="72"/>
      <c r="G908" s="72"/>
      <c r="H908" s="72"/>
      <c r="I908" s="72"/>
      <c r="J908" s="72"/>
      <c r="K908" s="72"/>
      <c r="L908" s="48" t="s">
        <v>735</v>
      </c>
      <c r="M908" s="48" t="s">
        <v>637</v>
      </c>
      <c r="N908" s="49">
        <v>1619.76</v>
      </c>
      <c r="O908" s="49">
        <v>1619.76</v>
      </c>
      <c r="P908" s="49"/>
      <c r="Q908" s="595">
        <f aca="true" t="shared" si="15" ref="Q908:Q971">P908/O908</f>
        <v>0</v>
      </c>
    </row>
    <row r="909" spans="1:17" ht="16.5" hidden="1" outlineLevel="2">
      <c r="A909" s="51" t="s">
        <v>784</v>
      </c>
      <c r="B909" s="48" t="s">
        <v>514</v>
      </c>
      <c r="C909" s="72" t="s">
        <v>388</v>
      </c>
      <c r="D909" s="72" t="s">
        <v>382</v>
      </c>
      <c r="E909" s="72"/>
      <c r="F909" s="72"/>
      <c r="G909" s="72"/>
      <c r="H909" s="72"/>
      <c r="I909" s="72"/>
      <c r="J909" s="72"/>
      <c r="K909" s="72"/>
      <c r="L909" s="48" t="s">
        <v>639</v>
      </c>
      <c r="M909" s="48" t="s">
        <v>645</v>
      </c>
      <c r="N909" s="49"/>
      <c r="O909" s="49"/>
      <c r="P909" s="49"/>
      <c r="Q909" s="595" t="e">
        <f t="shared" si="15"/>
        <v>#DIV/0!</v>
      </c>
    </row>
    <row r="910" spans="1:17" ht="16.5" hidden="1" outlineLevel="2">
      <c r="A910" s="51" t="s">
        <v>786</v>
      </c>
      <c r="B910" s="48" t="s">
        <v>514</v>
      </c>
      <c r="C910" s="72" t="s">
        <v>388</v>
      </c>
      <c r="D910" s="72" t="s">
        <v>382</v>
      </c>
      <c r="E910" s="72"/>
      <c r="F910" s="72"/>
      <c r="G910" s="72"/>
      <c r="H910" s="72"/>
      <c r="I910" s="72"/>
      <c r="J910" s="72"/>
      <c r="K910" s="72"/>
      <c r="L910" s="48" t="s">
        <v>639</v>
      </c>
      <c r="M910" s="48" t="s">
        <v>647</v>
      </c>
      <c r="N910" s="49">
        <v>60</v>
      </c>
      <c r="O910" s="49">
        <v>60</v>
      </c>
      <c r="P910" s="49"/>
      <c r="Q910" s="595">
        <f t="shared" si="15"/>
        <v>0</v>
      </c>
    </row>
    <row r="911" spans="1:17" ht="16.5" hidden="1" outlineLevel="2">
      <c r="A911" s="51" t="s">
        <v>787</v>
      </c>
      <c r="B911" s="48" t="s">
        <v>514</v>
      </c>
      <c r="C911" s="72" t="s">
        <v>388</v>
      </c>
      <c r="D911" s="72" t="s">
        <v>382</v>
      </c>
      <c r="E911" s="72"/>
      <c r="F911" s="72"/>
      <c r="G911" s="72"/>
      <c r="H911" s="72"/>
      <c r="I911" s="72"/>
      <c r="J911" s="72"/>
      <c r="K911" s="72"/>
      <c r="L911" s="48" t="s">
        <v>639</v>
      </c>
      <c r="M911" s="48" t="s">
        <v>648</v>
      </c>
      <c r="N911" s="49">
        <v>15.7</v>
      </c>
      <c r="O911" s="49">
        <v>15.7</v>
      </c>
      <c r="P911" s="49"/>
      <c r="Q911" s="595">
        <f t="shared" si="15"/>
        <v>0</v>
      </c>
    </row>
    <row r="912" spans="1:17" s="79" customFormat="1" ht="16.5" outlineLevel="2">
      <c r="A912" s="352" t="s">
        <v>854</v>
      </c>
      <c r="B912" s="353" t="s">
        <v>514</v>
      </c>
      <c r="C912" s="358" t="s">
        <v>388</v>
      </c>
      <c r="D912" s="358" t="s">
        <v>382</v>
      </c>
      <c r="E912" s="358" t="s">
        <v>770</v>
      </c>
      <c r="F912" s="358" t="s">
        <v>478</v>
      </c>
      <c r="G912" s="358" t="s">
        <v>789</v>
      </c>
      <c r="H912" s="358" t="s">
        <v>481</v>
      </c>
      <c r="I912" s="358" t="s">
        <v>770</v>
      </c>
      <c r="J912" s="358" t="s">
        <v>478</v>
      </c>
      <c r="K912" s="358" t="s">
        <v>478</v>
      </c>
      <c r="L912" s="353" t="s">
        <v>369</v>
      </c>
      <c r="M912" s="353"/>
      <c r="N912" s="359">
        <v>184.81</v>
      </c>
      <c r="O912" s="359">
        <v>235.71</v>
      </c>
      <c r="P912" s="359">
        <v>235.71</v>
      </c>
      <c r="Q912" s="595">
        <f t="shared" si="15"/>
        <v>1</v>
      </c>
    </row>
    <row r="913" spans="1:17" ht="16.5" hidden="1" outlineLevel="2">
      <c r="A913" s="51" t="s">
        <v>774</v>
      </c>
      <c r="B913" s="48" t="s">
        <v>514</v>
      </c>
      <c r="C913" s="72" t="s">
        <v>388</v>
      </c>
      <c r="D913" s="72" t="s">
        <v>382</v>
      </c>
      <c r="E913" s="72"/>
      <c r="F913" s="72"/>
      <c r="G913" s="72"/>
      <c r="H913" s="72"/>
      <c r="I913" s="72"/>
      <c r="J913" s="72"/>
      <c r="K913" s="72"/>
      <c r="L913" s="48" t="s">
        <v>735</v>
      </c>
      <c r="M913" s="48" t="s">
        <v>636</v>
      </c>
      <c r="N913" s="49">
        <v>648.16</v>
      </c>
      <c r="O913" s="49">
        <v>648.16</v>
      </c>
      <c r="P913" s="49"/>
      <c r="Q913" s="595">
        <f t="shared" si="15"/>
        <v>0</v>
      </c>
    </row>
    <row r="914" spans="1:17" ht="16.5" hidden="1" outlineLevel="2">
      <c r="A914" s="51" t="s">
        <v>775</v>
      </c>
      <c r="B914" s="48" t="s">
        <v>514</v>
      </c>
      <c r="C914" s="72" t="s">
        <v>388</v>
      </c>
      <c r="D914" s="72" t="s">
        <v>382</v>
      </c>
      <c r="E914" s="72"/>
      <c r="F914" s="72"/>
      <c r="G914" s="72"/>
      <c r="H914" s="72"/>
      <c r="I914" s="72"/>
      <c r="J914" s="72"/>
      <c r="K914" s="72"/>
      <c r="L914" s="48" t="s">
        <v>735</v>
      </c>
      <c r="M914" s="48" t="s">
        <v>637</v>
      </c>
      <c r="N914" s="49">
        <v>195.74</v>
      </c>
      <c r="O914" s="49">
        <v>195.74</v>
      </c>
      <c r="P914" s="49"/>
      <c r="Q914" s="595">
        <f t="shared" si="15"/>
        <v>0</v>
      </c>
    </row>
    <row r="915" spans="1:17" s="79" customFormat="1" ht="28.5" outlineLevel="2">
      <c r="A915" s="352" t="s">
        <v>894</v>
      </c>
      <c r="B915" s="353" t="s">
        <v>514</v>
      </c>
      <c r="C915" s="358" t="s">
        <v>483</v>
      </c>
      <c r="D915" s="358" t="s">
        <v>387</v>
      </c>
      <c r="E915" s="358" t="s">
        <v>770</v>
      </c>
      <c r="F915" s="358" t="s">
        <v>478</v>
      </c>
      <c r="G915" s="358" t="s">
        <v>789</v>
      </c>
      <c r="H915" s="358" t="s">
        <v>481</v>
      </c>
      <c r="I915" s="358" t="s">
        <v>770</v>
      </c>
      <c r="J915" s="358" t="s">
        <v>478</v>
      </c>
      <c r="K915" s="358" t="s">
        <v>480</v>
      </c>
      <c r="L915" s="353" t="s">
        <v>369</v>
      </c>
      <c r="M915" s="353"/>
      <c r="N915" s="359">
        <v>180.51</v>
      </c>
      <c r="O915" s="359">
        <f>2.71+255.07</f>
        <v>257.78</v>
      </c>
      <c r="P915" s="359">
        <v>257.78</v>
      </c>
      <c r="Q915" s="595">
        <f t="shared" si="15"/>
        <v>1</v>
      </c>
    </row>
    <row r="916" spans="1:17" ht="16.5" hidden="1" outlineLevel="2">
      <c r="A916" s="51" t="s">
        <v>784</v>
      </c>
      <c r="B916" s="48" t="s">
        <v>514</v>
      </c>
      <c r="C916" s="72" t="s">
        <v>388</v>
      </c>
      <c r="D916" s="72" t="s">
        <v>382</v>
      </c>
      <c r="E916" s="72"/>
      <c r="F916" s="72"/>
      <c r="G916" s="72"/>
      <c r="H916" s="72"/>
      <c r="I916" s="72"/>
      <c r="J916" s="72"/>
      <c r="K916" s="72"/>
      <c r="L916" s="48" t="s">
        <v>639</v>
      </c>
      <c r="M916" s="48" t="s">
        <v>645</v>
      </c>
      <c r="N916" s="49">
        <v>4.45</v>
      </c>
      <c r="O916" s="49">
        <v>4.45</v>
      </c>
      <c r="P916" s="49"/>
      <c r="Q916" s="595">
        <f t="shared" si="15"/>
        <v>0</v>
      </c>
    </row>
    <row r="917" spans="1:17" ht="16.5" hidden="1" outlineLevel="2">
      <c r="A917" s="51" t="s">
        <v>855</v>
      </c>
      <c r="B917" s="48" t="s">
        <v>514</v>
      </c>
      <c r="C917" s="72" t="s">
        <v>388</v>
      </c>
      <c r="D917" s="72" t="s">
        <v>382</v>
      </c>
      <c r="E917" s="72"/>
      <c r="F917" s="72"/>
      <c r="G917" s="72"/>
      <c r="H917" s="72"/>
      <c r="I917" s="72"/>
      <c r="J917" s="72"/>
      <c r="K917" s="72"/>
      <c r="L917" s="48" t="s">
        <v>733</v>
      </c>
      <c r="M917" s="48" t="s">
        <v>680</v>
      </c>
      <c r="N917" s="49">
        <v>176.06</v>
      </c>
      <c r="O917" s="49">
        <v>176.06</v>
      </c>
      <c r="P917" s="49"/>
      <c r="Q917" s="595">
        <f t="shared" si="15"/>
        <v>0</v>
      </c>
    </row>
    <row r="918" spans="1:17" s="79" customFormat="1" ht="31.5" outlineLevel="2">
      <c r="A918" s="421" t="s">
        <v>856</v>
      </c>
      <c r="B918" s="422" t="s">
        <v>514</v>
      </c>
      <c r="C918" s="358" t="s">
        <v>388</v>
      </c>
      <c r="D918" s="358" t="s">
        <v>382</v>
      </c>
      <c r="E918" s="358" t="s">
        <v>770</v>
      </c>
      <c r="F918" s="358" t="s">
        <v>478</v>
      </c>
      <c r="G918" s="358" t="s">
        <v>789</v>
      </c>
      <c r="H918" s="358" t="s">
        <v>481</v>
      </c>
      <c r="I918" s="358" t="s">
        <v>770</v>
      </c>
      <c r="J918" s="358" t="s">
        <v>478</v>
      </c>
      <c r="K918" s="358" t="s">
        <v>481</v>
      </c>
      <c r="L918" s="353" t="s">
        <v>369</v>
      </c>
      <c r="M918" s="353"/>
      <c r="N918" s="372">
        <v>58.96</v>
      </c>
      <c r="O918" s="372">
        <v>83.26</v>
      </c>
      <c r="P918" s="372">
        <v>83.26</v>
      </c>
      <c r="Q918" s="595">
        <f t="shared" si="15"/>
        <v>1</v>
      </c>
    </row>
    <row r="919" spans="1:17" ht="16.5" hidden="1" outlineLevel="2">
      <c r="A919" s="55" t="s">
        <v>787</v>
      </c>
      <c r="B919" s="69" t="s">
        <v>514</v>
      </c>
      <c r="C919" s="358" t="s">
        <v>388</v>
      </c>
      <c r="D919" s="358" t="s">
        <v>382</v>
      </c>
      <c r="E919" s="358"/>
      <c r="F919" s="358"/>
      <c r="G919" s="358"/>
      <c r="H919" s="358"/>
      <c r="I919" s="358"/>
      <c r="J919" s="358"/>
      <c r="K919" s="358"/>
      <c r="L919" s="48" t="s">
        <v>639</v>
      </c>
      <c r="M919" s="48" t="s">
        <v>648</v>
      </c>
      <c r="N919" s="371">
        <v>58.96</v>
      </c>
      <c r="O919" s="371">
        <v>58.96</v>
      </c>
      <c r="P919" s="371"/>
      <c r="Q919" s="595">
        <f t="shared" si="15"/>
        <v>0</v>
      </c>
    </row>
    <row r="920" spans="1:17" s="79" customFormat="1" ht="48" customHeight="1" outlineLevel="2">
      <c r="A920" s="423" t="s">
        <v>857</v>
      </c>
      <c r="B920" s="358" t="s">
        <v>514</v>
      </c>
      <c r="C920" s="358" t="s">
        <v>388</v>
      </c>
      <c r="D920" s="358" t="s">
        <v>382</v>
      </c>
      <c r="E920" s="72" t="s">
        <v>770</v>
      </c>
      <c r="F920" s="72" t="s">
        <v>528</v>
      </c>
      <c r="G920" s="72" t="s">
        <v>478</v>
      </c>
      <c r="H920" s="72" t="s">
        <v>770</v>
      </c>
      <c r="I920" s="72" t="s">
        <v>528</v>
      </c>
      <c r="J920" s="72" t="s">
        <v>770</v>
      </c>
      <c r="K920" s="72" t="s">
        <v>479</v>
      </c>
      <c r="L920" s="353" t="s">
        <v>369</v>
      </c>
      <c r="M920" s="353"/>
      <c r="N920" s="372">
        <f>56.23+5.6</f>
        <v>61.83</v>
      </c>
      <c r="O920" s="372">
        <v>291.15</v>
      </c>
      <c r="P920" s="372">
        <v>291.15</v>
      </c>
      <c r="Q920" s="595">
        <f t="shared" si="15"/>
        <v>1</v>
      </c>
    </row>
    <row r="921" spans="1:17" ht="54" customHeight="1" hidden="1" outlineLevel="2">
      <c r="A921" s="55" t="s">
        <v>787</v>
      </c>
      <c r="B921" s="72" t="s">
        <v>514</v>
      </c>
      <c r="C921" s="72" t="s">
        <v>388</v>
      </c>
      <c r="D921" s="72" t="s">
        <v>382</v>
      </c>
      <c r="E921" s="72"/>
      <c r="F921" s="72"/>
      <c r="G921" s="72"/>
      <c r="H921" s="72"/>
      <c r="I921" s="72"/>
      <c r="J921" s="72"/>
      <c r="K921" s="72"/>
      <c r="L921" s="48" t="s">
        <v>639</v>
      </c>
      <c r="M921" s="48" t="s">
        <v>648</v>
      </c>
      <c r="N921" s="371">
        <v>56.23</v>
      </c>
      <c r="O921" s="371">
        <v>56.23</v>
      </c>
      <c r="P921" s="371"/>
      <c r="Q921" s="595">
        <f t="shared" si="15"/>
        <v>0</v>
      </c>
    </row>
    <row r="922" spans="1:17" s="79" customFormat="1" ht="28.5" collapsed="1">
      <c r="A922" s="378" t="s">
        <v>895</v>
      </c>
      <c r="B922" s="358" t="s">
        <v>514</v>
      </c>
      <c r="C922" s="358" t="s">
        <v>388</v>
      </c>
      <c r="D922" s="358" t="s">
        <v>382</v>
      </c>
      <c r="E922" s="72" t="s">
        <v>770</v>
      </c>
      <c r="F922" s="72" t="s">
        <v>528</v>
      </c>
      <c r="G922" s="72" t="s">
        <v>478</v>
      </c>
      <c r="H922" s="72" t="s">
        <v>770</v>
      </c>
      <c r="I922" s="72" t="s">
        <v>528</v>
      </c>
      <c r="J922" s="72" t="s">
        <v>770</v>
      </c>
      <c r="K922" s="72" t="s">
        <v>480</v>
      </c>
      <c r="L922" s="358" t="s">
        <v>369</v>
      </c>
      <c r="M922" s="358"/>
      <c r="N922" s="376">
        <f>630.98+89.22</f>
        <v>720.2</v>
      </c>
      <c r="O922" s="376">
        <f>293+425</f>
        <v>718</v>
      </c>
      <c r="P922" s="376">
        <v>718</v>
      </c>
      <c r="Q922" s="595">
        <f t="shared" si="15"/>
        <v>1</v>
      </c>
    </row>
    <row r="923" spans="1:17" ht="16.5" hidden="1">
      <c r="A923" s="62" t="s">
        <v>774</v>
      </c>
      <c r="B923" s="72" t="s">
        <v>514</v>
      </c>
      <c r="C923" s="72" t="s">
        <v>388</v>
      </c>
      <c r="D923" s="72" t="s">
        <v>382</v>
      </c>
      <c r="E923" s="72"/>
      <c r="F923" s="72"/>
      <c r="G923" s="72"/>
      <c r="H923" s="72"/>
      <c r="I923" s="72"/>
      <c r="J923" s="72"/>
      <c r="K923" s="72"/>
      <c r="L923" s="72" t="s">
        <v>639</v>
      </c>
      <c r="M923" s="72" t="s">
        <v>636</v>
      </c>
      <c r="N923" s="133">
        <v>276.56</v>
      </c>
      <c r="O923" s="133">
        <v>276.56</v>
      </c>
      <c r="P923" s="133"/>
      <c r="Q923" s="595">
        <f t="shared" si="15"/>
        <v>0</v>
      </c>
    </row>
    <row r="924" spans="1:17" ht="16.5" hidden="1">
      <c r="A924" s="62" t="s">
        <v>775</v>
      </c>
      <c r="B924" s="72" t="s">
        <v>514</v>
      </c>
      <c r="C924" s="72" t="s">
        <v>388</v>
      </c>
      <c r="D924" s="72" t="s">
        <v>382</v>
      </c>
      <c r="E924" s="72"/>
      <c r="F924" s="72"/>
      <c r="G924" s="72"/>
      <c r="H924" s="72"/>
      <c r="I924" s="72"/>
      <c r="J924" s="72"/>
      <c r="K924" s="72"/>
      <c r="L924" s="72" t="s">
        <v>639</v>
      </c>
      <c r="M924" s="72" t="s">
        <v>637</v>
      </c>
      <c r="N924" s="133">
        <v>83.52</v>
      </c>
      <c r="O924" s="133">
        <v>83.52</v>
      </c>
      <c r="P924" s="133"/>
      <c r="Q924" s="595">
        <f t="shared" si="15"/>
        <v>0</v>
      </c>
    </row>
    <row r="925" spans="1:17" ht="16.5" hidden="1">
      <c r="A925" s="62" t="s">
        <v>787</v>
      </c>
      <c r="B925" s="72" t="s">
        <v>514</v>
      </c>
      <c r="C925" s="72" t="s">
        <v>388</v>
      </c>
      <c r="D925" s="72" t="s">
        <v>382</v>
      </c>
      <c r="E925" s="72"/>
      <c r="F925" s="72"/>
      <c r="G925" s="72"/>
      <c r="H925" s="72"/>
      <c r="I925" s="72"/>
      <c r="J925" s="72"/>
      <c r="K925" s="72"/>
      <c r="L925" s="72" t="s">
        <v>639</v>
      </c>
      <c r="M925" s="72" t="s">
        <v>648</v>
      </c>
      <c r="N925" s="133">
        <v>270.9</v>
      </c>
      <c r="O925" s="133">
        <v>270.9</v>
      </c>
      <c r="P925" s="133"/>
      <c r="Q925" s="595">
        <f t="shared" si="15"/>
        <v>0</v>
      </c>
    </row>
    <row r="926" spans="1:17" ht="30">
      <c r="A926" s="62" t="s">
        <v>864</v>
      </c>
      <c r="B926" s="74" t="s">
        <v>514</v>
      </c>
      <c r="C926" s="74" t="s">
        <v>388</v>
      </c>
      <c r="D926" s="74" t="s">
        <v>388</v>
      </c>
      <c r="E926" s="74" t="s">
        <v>770</v>
      </c>
      <c r="F926" s="74" t="s">
        <v>528</v>
      </c>
      <c r="G926" s="74" t="s">
        <v>479</v>
      </c>
      <c r="H926" s="74" t="s">
        <v>770</v>
      </c>
      <c r="I926" s="74" t="s">
        <v>528</v>
      </c>
      <c r="J926" s="74" t="s">
        <v>770</v>
      </c>
      <c r="K926" s="74" t="s">
        <v>479</v>
      </c>
      <c r="L926" s="74" t="s">
        <v>369</v>
      </c>
      <c r="M926" s="74"/>
      <c r="N926" s="566"/>
      <c r="O926" s="568">
        <f>7.4+57.24</f>
        <v>64.64</v>
      </c>
      <c r="P926" s="568">
        <v>64.64</v>
      </c>
      <c r="Q926" s="595">
        <f t="shared" si="15"/>
        <v>1</v>
      </c>
    </row>
    <row r="927" spans="1:17" ht="45">
      <c r="A927" s="51" t="s">
        <v>866</v>
      </c>
      <c r="B927" s="73" t="s">
        <v>514</v>
      </c>
      <c r="C927" s="73" t="s">
        <v>388</v>
      </c>
      <c r="D927" s="73" t="s">
        <v>385</v>
      </c>
      <c r="E927" s="391" t="s">
        <v>770</v>
      </c>
      <c r="F927" s="391" t="s">
        <v>528</v>
      </c>
      <c r="G927" s="391" t="s">
        <v>546</v>
      </c>
      <c r="H927" s="391" t="s">
        <v>770</v>
      </c>
      <c r="I927" s="391" t="s">
        <v>528</v>
      </c>
      <c r="J927" s="391" t="s">
        <v>770</v>
      </c>
      <c r="K927" s="391" t="s">
        <v>546</v>
      </c>
      <c r="L927" s="73" t="s">
        <v>778</v>
      </c>
      <c r="M927" s="73"/>
      <c r="N927" s="371"/>
      <c r="O927" s="569">
        <v>10</v>
      </c>
      <c r="P927" s="569">
        <v>10</v>
      </c>
      <c r="Q927" s="595">
        <f t="shared" si="15"/>
        <v>1</v>
      </c>
    </row>
    <row r="928" spans="1:17" ht="16.5">
      <c r="A928" s="51"/>
      <c r="B928" s="73" t="s">
        <v>514</v>
      </c>
      <c r="C928" s="73" t="s">
        <v>391</v>
      </c>
      <c r="D928" s="73" t="s">
        <v>385</v>
      </c>
      <c r="E928" s="391" t="s">
        <v>770</v>
      </c>
      <c r="F928" s="391" t="s">
        <v>546</v>
      </c>
      <c r="G928" s="391" t="s">
        <v>479</v>
      </c>
      <c r="H928" s="391" t="s">
        <v>770</v>
      </c>
      <c r="I928" s="391" t="s">
        <v>546</v>
      </c>
      <c r="J928" s="391" t="s">
        <v>770</v>
      </c>
      <c r="K928" s="391" t="s">
        <v>479</v>
      </c>
      <c r="L928" s="73" t="s">
        <v>369</v>
      </c>
      <c r="M928" s="73"/>
      <c r="N928" s="371"/>
      <c r="O928" s="569">
        <v>2</v>
      </c>
      <c r="P928" s="569">
        <v>2</v>
      </c>
      <c r="Q928" s="595">
        <f t="shared" si="15"/>
        <v>1</v>
      </c>
    </row>
    <row r="929" spans="1:17" s="397" customFormat="1" ht="34.5" customHeight="1">
      <c r="A929" s="401" t="s">
        <v>904</v>
      </c>
      <c r="B929" s="375" t="s">
        <v>514</v>
      </c>
      <c r="C929" s="375"/>
      <c r="D929" s="375"/>
      <c r="E929" s="375"/>
      <c r="F929" s="375"/>
      <c r="G929" s="375"/>
      <c r="H929" s="375"/>
      <c r="I929" s="375"/>
      <c r="J929" s="375"/>
      <c r="K929" s="375"/>
      <c r="L929" s="375"/>
      <c r="M929" s="375"/>
      <c r="N929" s="402">
        <f>N933+N937+N951+N957+N960+N963+N965+N967</f>
        <v>6106.7300000000005</v>
      </c>
      <c r="O929" s="402">
        <f>O930</f>
        <v>6152.099999999999</v>
      </c>
      <c r="P929" s="402">
        <f>P930</f>
        <v>5979.339999999999</v>
      </c>
      <c r="Q929" s="595">
        <f t="shared" si="15"/>
        <v>0.9719185318834219</v>
      </c>
    </row>
    <row r="930" spans="1:17" ht="16.5">
      <c r="A930" s="62" t="s">
        <v>509</v>
      </c>
      <c r="B930" s="72" t="s">
        <v>514</v>
      </c>
      <c r="C930" s="72" t="s">
        <v>388</v>
      </c>
      <c r="D930" s="72"/>
      <c r="E930" s="72"/>
      <c r="F930" s="72"/>
      <c r="G930" s="72"/>
      <c r="H930" s="72"/>
      <c r="I930" s="72"/>
      <c r="J930" s="72"/>
      <c r="K930" s="72"/>
      <c r="L930" s="72"/>
      <c r="M930" s="72"/>
      <c r="N930" s="133">
        <v>5973.110000000001</v>
      </c>
      <c r="O930" s="133">
        <f>O931</f>
        <v>6152.099999999999</v>
      </c>
      <c r="P930" s="133">
        <f>P931</f>
        <v>5979.339999999999</v>
      </c>
      <c r="Q930" s="595">
        <f t="shared" si="15"/>
        <v>0.9719185318834219</v>
      </c>
    </row>
    <row r="931" spans="1:17" ht="16.5">
      <c r="A931" s="62" t="s">
        <v>512</v>
      </c>
      <c r="B931" s="72" t="s">
        <v>514</v>
      </c>
      <c r="C931" s="72" t="s">
        <v>388</v>
      </c>
      <c r="D931" s="72" t="s">
        <v>382</v>
      </c>
      <c r="E931" s="72"/>
      <c r="F931" s="72"/>
      <c r="G931" s="72"/>
      <c r="H931" s="72"/>
      <c r="I931" s="72"/>
      <c r="J931" s="72"/>
      <c r="K931" s="72"/>
      <c r="L931" s="72"/>
      <c r="M931" s="72"/>
      <c r="N931" s="133">
        <v>5973.110000000001</v>
      </c>
      <c r="O931" s="133">
        <f>O932+O951+O957+O960+O963+O965+O967+O971+O972</f>
        <v>6152.099999999999</v>
      </c>
      <c r="P931" s="133">
        <f>P932+P951+P957+P960+P963+P965+P967+P971+P972</f>
        <v>5979.339999999999</v>
      </c>
      <c r="Q931" s="595">
        <f t="shared" si="15"/>
        <v>0.9719185318834219</v>
      </c>
    </row>
    <row r="932" spans="1:17" ht="45">
      <c r="A932" s="62" t="s">
        <v>892</v>
      </c>
      <c r="B932" s="72" t="s">
        <v>514</v>
      </c>
      <c r="C932" s="391" t="s">
        <v>388</v>
      </c>
      <c r="D932" s="391" t="s">
        <v>382</v>
      </c>
      <c r="E932" s="391" t="s">
        <v>770</v>
      </c>
      <c r="F932" s="391" t="s">
        <v>528</v>
      </c>
      <c r="G932" s="391"/>
      <c r="H932" s="391"/>
      <c r="I932" s="391"/>
      <c r="J932" s="391"/>
      <c r="K932" s="391"/>
      <c r="L932" s="72" t="s">
        <v>369</v>
      </c>
      <c r="M932" s="72"/>
      <c r="N932" s="133">
        <f>N933+N937</f>
        <v>587.0899999999999</v>
      </c>
      <c r="O932" s="133">
        <f>O933+O937</f>
        <v>717.81</v>
      </c>
      <c r="P932" s="133">
        <f>P933+P937</f>
        <v>717.81</v>
      </c>
      <c r="Q932" s="595">
        <f t="shared" si="15"/>
        <v>1</v>
      </c>
    </row>
    <row r="933" spans="1:17" ht="16.5">
      <c r="A933" s="62" t="s">
        <v>850</v>
      </c>
      <c r="B933" s="72" t="s">
        <v>514</v>
      </c>
      <c r="C933" s="391" t="s">
        <v>388</v>
      </c>
      <c r="D933" s="391" t="s">
        <v>382</v>
      </c>
      <c r="E933" s="391" t="s">
        <v>770</v>
      </c>
      <c r="F933" s="391" t="s">
        <v>528</v>
      </c>
      <c r="G933" s="391" t="s">
        <v>478</v>
      </c>
      <c r="H933" s="391" t="s">
        <v>770</v>
      </c>
      <c r="I933" s="391" t="s">
        <v>528</v>
      </c>
      <c r="J933" s="391" t="s">
        <v>770</v>
      </c>
      <c r="K933" s="391" t="s">
        <v>528</v>
      </c>
      <c r="L933" s="72" t="s">
        <v>773</v>
      </c>
      <c r="M933" s="72"/>
      <c r="N933" s="133">
        <v>270.09</v>
      </c>
      <c r="O933" s="133">
        <f>304.37+24.63</f>
        <v>329</v>
      </c>
      <c r="P933" s="133">
        <v>329</v>
      </c>
      <c r="Q933" s="595">
        <f t="shared" si="15"/>
        <v>1</v>
      </c>
    </row>
    <row r="934" spans="1:17" ht="16.5" hidden="1">
      <c r="A934" s="62" t="s">
        <v>774</v>
      </c>
      <c r="B934" s="72" t="s">
        <v>514</v>
      </c>
      <c r="C934" s="391" t="s">
        <v>388</v>
      </c>
      <c r="D934" s="391" t="s">
        <v>382</v>
      </c>
      <c r="E934" s="391"/>
      <c r="F934" s="391"/>
      <c r="G934" s="391"/>
      <c r="H934" s="391"/>
      <c r="I934" s="391"/>
      <c r="J934" s="391"/>
      <c r="K934" s="391"/>
      <c r="L934" s="72" t="s">
        <v>735</v>
      </c>
      <c r="M934" s="72" t="s">
        <v>636</v>
      </c>
      <c r="N934" s="133">
        <v>81.68</v>
      </c>
      <c r="O934" s="133">
        <v>81.68</v>
      </c>
      <c r="P934" s="133"/>
      <c r="Q934" s="595">
        <f t="shared" si="15"/>
        <v>0</v>
      </c>
    </row>
    <row r="935" spans="1:17" ht="16.5" hidden="1">
      <c r="A935" s="62" t="s">
        <v>776</v>
      </c>
      <c r="B935" s="72" t="s">
        <v>514</v>
      </c>
      <c r="C935" s="391" t="s">
        <v>388</v>
      </c>
      <c r="D935" s="391" t="s">
        <v>382</v>
      </c>
      <c r="E935" s="391"/>
      <c r="F935" s="391"/>
      <c r="G935" s="391"/>
      <c r="H935" s="391"/>
      <c r="I935" s="391"/>
      <c r="J935" s="391"/>
      <c r="K935" s="391"/>
      <c r="L935" s="72" t="s">
        <v>676</v>
      </c>
      <c r="M935" s="72" t="s">
        <v>660</v>
      </c>
      <c r="N935" s="133"/>
      <c r="O935" s="133"/>
      <c r="P935" s="133"/>
      <c r="Q935" s="595" t="e">
        <f t="shared" si="15"/>
        <v>#DIV/0!</v>
      </c>
    </row>
    <row r="936" spans="1:17" ht="16.5" hidden="1">
      <c r="A936" s="62" t="s">
        <v>775</v>
      </c>
      <c r="B936" s="72" t="s">
        <v>514</v>
      </c>
      <c r="C936" s="391" t="s">
        <v>388</v>
      </c>
      <c r="D936" s="391" t="s">
        <v>382</v>
      </c>
      <c r="E936" s="391"/>
      <c r="F936" s="391"/>
      <c r="G936" s="391"/>
      <c r="H936" s="391"/>
      <c r="I936" s="391"/>
      <c r="J936" s="391"/>
      <c r="K936" s="391"/>
      <c r="L936" s="72" t="s">
        <v>735</v>
      </c>
      <c r="M936" s="72" t="s">
        <v>637</v>
      </c>
      <c r="N936" s="133">
        <v>24.67</v>
      </c>
      <c r="O936" s="133">
        <v>24.67</v>
      </c>
      <c r="P936" s="133"/>
      <c r="Q936" s="595">
        <f t="shared" si="15"/>
        <v>0</v>
      </c>
    </row>
    <row r="937" spans="1:17" ht="30">
      <c r="A937" s="62" t="s">
        <v>777</v>
      </c>
      <c r="B937" s="72" t="s">
        <v>514</v>
      </c>
      <c r="C937" s="391" t="s">
        <v>388</v>
      </c>
      <c r="D937" s="391" t="s">
        <v>382</v>
      </c>
      <c r="E937" s="391" t="s">
        <v>770</v>
      </c>
      <c r="F937" s="391" t="s">
        <v>528</v>
      </c>
      <c r="G937" s="391" t="s">
        <v>478</v>
      </c>
      <c r="H937" s="391" t="s">
        <v>770</v>
      </c>
      <c r="I937" s="391" t="s">
        <v>528</v>
      </c>
      <c r="J937" s="391" t="s">
        <v>770</v>
      </c>
      <c r="K937" s="391" t="s">
        <v>478</v>
      </c>
      <c r="L937" s="72" t="s">
        <v>778</v>
      </c>
      <c r="M937" s="72"/>
      <c r="N937" s="133">
        <v>316.99999999999994</v>
      </c>
      <c r="O937" s="133">
        <f>5.6+383.21</f>
        <v>388.81</v>
      </c>
      <c r="P937" s="133">
        <v>388.81</v>
      </c>
      <c r="Q937" s="595">
        <f t="shared" si="15"/>
        <v>1</v>
      </c>
    </row>
    <row r="938" spans="1:17" ht="16.5" hidden="1">
      <c r="A938" s="62" t="s">
        <v>779</v>
      </c>
      <c r="B938" s="72" t="s">
        <v>514</v>
      </c>
      <c r="C938" s="391" t="s">
        <v>388</v>
      </c>
      <c r="D938" s="391" t="s">
        <v>382</v>
      </c>
      <c r="E938" s="391"/>
      <c r="F938" s="391"/>
      <c r="G938" s="391"/>
      <c r="H938" s="391"/>
      <c r="I938" s="391"/>
      <c r="J938" s="391"/>
      <c r="K938" s="391"/>
      <c r="L938" s="72" t="s">
        <v>639</v>
      </c>
      <c r="M938" s="72" t="s">
        <v>640</v>
      </c>
      <c r="N938" s="133">
        <v>15.1</v>
      </c>
      <c r="O938" s="133">
        <v>15.1</v>
      </c>
      <c r="P938" s="133"/>
      <c r="Q938" s="595">
        <f t="shared" si="15"/>
        <v>0</v>
      </c>
    </row>
    <row r="939" spans="1:17" ht="16.5" hidden="1">
      <c r="A939" s="62" t="s">
        <v>780</v>
      </c>
      <c r="B939" s="72" t="s">
        <v>514</v>
      </c>
      <c r="C939" s="391" t="s">
        <v>388</v>
      </c>
      <c r="D939" s="391" t="s">
        <v>382</v>
      </c>
      <c r="E939" s="391"/>
      <c r="F939" s="391"/>
      <c r="G939" s="391"/>
      <c r="H939" s="391"/>
      <c r="I939" s="391"/>
      <c r="J939" s="391"/>
      <c r="K939" s="391"/>
      <c r="L939" s="72" t="s">
        <v>639</v>
      </c>
      <c r="M939" s="72" t="s">
        <v>641</v>
      </c>
      <c r="N939" s="133"/>
      <c r="O939" s="133"/>
      <c r="P939" s="133"/>
      <c r="Q939" s="595" t="e">
        <f t="shared" si="15"/>
        <v>#DIV/0!</v>
      </c>
    </row>
    <row r="940" spans="1:17" ht="16.5" hidden="1">
      <c r="A940" s="62" t="s">
        <v>781</v>
      </c>
      <c r="B940" s="72" t="s">
        <v>514</v>
      </c>
      <c r="C940" s="391" t="s">
        <v>388</v>
      </c>
      <c r="D940" s="391" t="s">
        <v>382</v>
      </c>
      <c r="E940" s="391"/>
      <c r="F940" s="391"/>
      <c r="G940" s="391"/>
      <c r="H940" s="391"/>
      <c r="I940" s="391"/>
      <c r="J940" s="391"/>
      <c r="K940" s="391"/>
      <c r="L940" s="72" t="s">
        <v>639</v>
      </c>
      <c r="M940" s="72" t="s">
        <v>642</v>
      </c>
      <c r="N940" s="133">
        <v>148.73</v>
      </c>
      <c r="O940" s="133">
        <v>148.73</v>
      </c>
      <c r="P940" s="133"/>
      <c r="Q940" s="595">
        <f t="shared" si="15"/>
        <v>0</v>
      </c>
    </row>
    <row r="941" spans="1:17" ht="16.5" hidden="1">
      <c r="A941" s="62" t="s">
        <v>782</v>
      </c>
      <c r="B941" s="72" t="s">
        <v>514</v>
      </c>
      <c r="C941" s="391" t="s">
        <v>388</v>
      </c>
      <c r="D941" s="391" t="s">
        <v>382</v>
      </c>
      <c r="E941" s="391"/>
      <c r="F941" s="391"/>
      <c r="G941" s="391"/>
      <c r="H941" s="391"/>
      <c r="I941" s="391"/>
      <c r="J941" s="391"/>
      <c r="K941" s="391"/>
      <c r="L941" s="72" t="s">
        <v>639</v>
      </c>
      <c r="M941" s="72" t="s">
        <v>643</v>
      </c>
      <c r="N941" s="133"/>
      <c r="O941" s="133"/>
      <c r="P941" s="133"/>
      <c r="Q941" s="595" t="e">
        <f t="shared" si="15"/>
        <v>#DIV/0!</v>
      </c>
    </row>
    <row r="942" spans="1:17" ht="16.5" hidden="1">
      <c r="A942" s="62" t="s">
        <v>783</v>
      </c>
      <c r="B942" s="72" t="s">
        <v>514</v>
      </c>
      <c r="C942" s="391" t="s">
        <v>388</v>
      </c>
      <c r="D942" s="391" t="s">
        <v>382</v>
      </c>
      <c r="E942" s="391"/>
      <c r="F942" s="391"/>
      <c r="G942" s="391"/>
      <c r="H942" s="391"/>
      <c r="I942" s="391"/>
      <c r="J942" s="391"/>
      <c r="K942" s="391"/>
      <c r="L942" s="72" t="s">
        <v>639</v>
      </c>
      <c r="M942" s="72" t="s">
        <v>644</v>
      </c>
      <c r="N942" s="133">
        <v>76.46</v>
      </c>
      <c r="O942" s="133">
        <v>76.46</v>
      </c>
      <c r="P942" s="133"/>
      <c r="Q942" s="595">
        <f t="shared" si="15"/>
        <v>0</v>
      </c>
    </row>
    <row r="943" spans="1:17" ht="16.5" hidden="1">
      <c r="A943" s="62" t="s">
        <v>784</v>
      </c>
      <c r="B943" s="72" t="s">
        <v>514</v>
      </c>
      <c r="C943" s="391" t="s">
        <v>388</v>
      </c>
      <c r="D943" s="391" t="s">
        <v>382</v>
      </c>
      <c r="E943" s="391"/>
      <c r="F943" s="391"/>
      <c r="G943" s="391"/>
      <c r="H943" s="391"/>
      <c r="I943" s="391"/>
      <c r="J943" s="391"/>
      <c r="K943" s="391"/>
      <c r="L943" s="72" t="s">
        <v>639</v>
      </c>
      <c r="M943" s="72" t="s">
        <v>645</v>
      </c>
      <c r="N943" s="133">
        <v>42.31</v>
      </c>
      <c r="O943" s="133">
        <v>42.31</v>
      </c>
      <c r="P943" s="133"/>
      <c r="Q943" s="595">
        <f t="shared" si="15"/>
        <v>0</v>
      </c>
    </row>
    <row r="944" spans="1:17" ht="16.5" hidden="1">
      <c r="A944" s="62" t="s">
        <v>785</v>
      </c>
      <c r="B944" s="72" t="s">
        <v>514</v>
      </c>
      <c r="C944" s="391" t="s">
        <v>388</v>
      </c>
      <c r="D944" s="391" t="s">
        <v>382</v>
      </c>
      <c r="E944" s="391"/>
      <c r="F944" s="391"/>
      <c r="G944" s="391"/>
      <c r="H944" s="391"/>
      <c r="I944" s="391"/>
      <c r="J944" s="391"/>
      <c r="K944" s="391"/>
      <c r="L944" s="72" t="s">
        <v>639</v>
      </c>
      <c r="M944" s="72" t="s">
        <v>646</v>
      </c>
      <c r="N944" s="133">
        <v>10.4</v>
      </c>
      <c r="O944" s="133">
        <v>10.4</v>
      </c>
      <c r="P944" s="133"/>
      <c r="Q944" s="595">
        <f t="shared" si="15"/>
        <v>0</v>
      </c>
    </row>
    <row r="945" spans="1:17" ht="16.5" hidden="1">
      <c r="A945" s="62" t="s">
        <v>786</v>
      </c>
      <c r="B945" s="72" t="s">
        <v>514</v>
      </c>
      <c r="C945" s="391" t="s">
        <v>388</v>
      </c>
      <c r="D945" s="391" t="s">
        <v>382</v>
      </c>
      <c r="E945" s="391"/>
      <c r="F945" s="391"/>
      <c r="G945" s="391"/>
      <c r="H945" s="391"/>
      <c r="I945" s="391"/>
      <c r="J945" s="391"/>
      <c r="K945" s="391"/>
      <c r="L945" s="72" t="s">
        <v>639</v>
      </c>
      <c r="M945" s="72" t="s">
        <v>647</v>
      </c>
      <c r="N945" s="133"/>
      <c r="O945" s="133"/>
      <c r="P945" s="133"/>
      <c r="Q945" s="595" t="e">
        <f t="shared" si="15"/>
        <v>#DIV/0!</v>
      </c>
    </row>
    <row r="946" spans="1:17" ht="16.5" hidden="1">
      <c r="A946" s="62" t="s">
        <v>787</v>
      </c>
      <c r="B946" s="72" t="s">
        <v>514</v>
      </c>
      <c r="C946" s="391" t="s">
        <v>388</v>
      </c>
      <c r="D946" s="391" t="s">
        <v>382</v>
      </c>
      <c r="E946" s="391"/>
      <c r="F946" s="391"/>
      <c r="G946" s="391"/>
      <c r="H946" s="391"/>
      <c r="I946" s="391"/>
      <c r="J946" s="391"/>
      <c r="K946" s="391"/>
      <c r="L946" s="72" t="s">
        <v>639</v>
      </c>
      <c r="M946" s="72" t="s">
        <v>648</v>
      </c>
      <c r="N946" s="133">
        <v>24</v>
      </c>
      <c r="O946" s="133">
        <v>24</v>
      </c>
      <c r="P946" s="133"/>
      <c r="Q946" s="595">
        <f t="shared" si="15"/>
        <v>0</v>
      </c>
    </row>
    <row r="947" spans="1:17" ht="16.5" hidden="1">
      <c r="A947" s="62" t="s">
        <v>510</v>
      </c>
      <c r="B947" s="72" t="s">
        <v>514</v>
      </c>
      <c r="C947" s="391" t="s">
        <v>483</v>
      </c>
      <c r="D947" s="391"/>
      <c r="E947" s="391"/>
      <c r="F947" s="391"/>
      <c r="G947" s="391"/>
      <c r="H947" s="391"/>
      <c r="I947" s="391"/>
      <c r="J947" s="391"/>
      <c r="K947" s="391"/>
      <c r="L947" s="72"/>
      <c r="M947" s="72"/>
      <c r="N947" s="133">
        <v>0</v>
      </c>
      <c r="O947" s="133">
        <v>0</v>
      </c>
      <c r="P947" s="133"/>
      <c r="Q947" s="595" t="e">
        <f t="shared" si="15"/>
        <v>#DIV/0!</v>
      </c>
    </row>
    <row r="948" spans="1:17" ht="16.5" hidden="1">
      <c r="A948" s="62" t="s">
        <v>521</v>
      </c>
      <c r="B948" s="72" t="s">
        <v>514</v>
      </c>
      <c r="C948" s="391" t="s">
        <v>483</v>
      </c>
      <c r="D948" s="391" t="s">
        <v>391</v>
      </c>
      <c r="E948" s="391"/>
      <c r="F948" s="391"/>
      <c r="G948" s="391"/>
      <c r="H948" s="391"/>
      <c r="I948" s="391"/>
      <c r="J948" s="391"/>
      <c r="K948" s="391"/>
      <c r="L948" s="72"/>
      <c r="M948" s="72"/>
      <c r="N948" s="133">
        <v>0</v>
      </c>
      <c r="O948" s="133">
        <v>0</v>
      </c>
      <c r="P948" s="133"/>
      <c r="Q948" s="595" t="e">
        <f t="shared" si="15"/>
        <v>#DIV/0!</v>
      </c>
    </row>
    <row r="949" spans="1:17" ht="45" hidden="1">
      <c r="A949" s="62" t="s">
        <v>842</v>
      </c>
      <c r="B949" s="72" t="s">
        <v>514</v>
      </c>
      <c r="C949" s="391" t="s">
        <v>483</v>
      </c>
      <c r="D949" s="391" t="s">
        <v>391</v>
      </c>
      <c r="E949" s="391" t="s">
        <v>843</v>
      </c>
      <c r="F949" s="391"/>
      <c r="G949" s="391"/>
      <c r="H949" s="391"/>
      <c r="I949" s="391"/>
      <c r="J949" s="391"/>
      <c r="K949" s="391"/>
      <c r="L949" s="72" t="s">
        <v>844</v>
      </c>
      <c r="M949" s="72"/>
      <c r="N949" s="133"/>
      <c r="O949" s="133"/>
      <c r="P949" s="133"/>
      <c r="Q949" s="595" t="e">
        <f t="shared" si="15"/>
        <v>#DIV/0!</v>
      </c>
    </row>
    <row r="950" spans="1:17" ht="45" hidden="1">
      <c r="A950" s="62" t="s">
        <v>842</v>
      </c>
      <c r="B950" s="72" t="s">
        <v>514</v>
      </c>
      <c r="C950" s="391" t="s">
        <v>483</v>
      </c>
      <c r="D950" s="391" t="s">
        <v>391</v>
      </c>
      <c r="E950" s="391" t="s">
        <v>845</v>
      </c>
      <c r="F950" s="391"/>
      <c r="G950" s="391"/>
      <c r="H950" s="391"/>
      <c r="I950" s="391"/>
      <c r="J950" s="391"/>
      <c r="K950" s="391"/>
      <c r="L950" s="72" t="s">
        <v>844</v>
      </c>
      <c r="M950" s="72"/>
      <c r="N950" s="133"/>
      <c r="O950" s="133"/>
      <c r="P950" s="133"/>
      <c r="Q950" s="595" t="e">
        <f t="shared" si="15"/>
        <v>#DIV/0!</v>
      </c>
    </row>
    <row r="951" spans="1:17" s="79" customFormat="1" ht="23.25" customHeight="1">
      <c r="A951" s="378" t="s">
        <v>893</v>
      </c>
      <c r="B951" s="358" t="s">
        <v>514</v>
      </c>
      <c r="C951" s="358" t="s">
        <v>388</v>
      </c>
      <c r="D951" s="358" t="s">
        <v>382</v>
      </c>
      <c r="E951" s="358" t="s">
        <v>770</v>
      </c>
      <c r="F951" s="358" t="s">
        <v>478</v>
      </c>
      <c r="G951" s="358" t="s">
        <v>789</v>
      </c>
      <c r="H951" s="358" t="s">
        <v>481</v>
      </c>
      <c r="I951" s="358" t="s">
        <v>770</v>
      </c>
      <c r="J951" s="358" t="s">
        <v>528</v>
      </c>
      <c r="K951" s="358" t="s">
        <v>480</v>
      </c>
      <c r="L951" s="358" t="s">
        <v>369</v>
      </c>
      <c r="M951" s="358"/>
      <c r="N951" s="376">
        <v>4843.54</v>
      </c>
      <c r="O951" s="376">
        <f>4463.49+313.61</f>
        <v>4777.099999999999</v>
      </c>
      <c r="P951" s="376">
        <f>4290.73+313.61</f>
        <v>4604.339999999999</v>
      </c>
      <c r="Q951" s="595">
        <f t="shared" si="15"/>
        <v>0.9638357999623202</v>
      </c>
    </row>
    <row r="952" spans="1:17" ht="16.5" hidden="1">
      <c r="A952" s="62" t="s">
        <v>774</v>
      </c>
      <c r="B952" s="72" t="s">
        <v>514</v>
      </c>
      <c r="C952" s="72" t="s">
        <v>388</v>
      </c>
      <c r="D952" s="72" t="s">
        <v>382</v>
      </c>
      <c r="E952" s="72"/>
      <c r="F952" s="72"/>
      <c r="G952" s="72"/>
      <c r="H952" s="72"/>
      <c r="I952" s="72"/>
      <c r="J952" s="72"/>
      <c r="K952" s="72"/>
      <c r="L952" s="72" t="s">
        <v>735</v>
      </c>
      <c r="M952" s="72" t="s">
        <v>636</v>
      </c>
      <c r="N952" s="133">
        <v>3386.07</v>
      </c>
      <c r="O952" s="133">
        <v>3386.07</v>
      </c>
      <c r="P952" s="133"/>
      <c r="Q952" s="595">
        <f t="shared" si="15"/>
        <v>0</v>
      </c>
    </row>
    <row r="953" spans="1:17" ht="16.5" hidden="1">
      <c r="A953" s="62" t="s">
        <v>775</v>
      </c>
      <c r="B953" s="72" t="s">
        <v>514</v>
      </c>
      <c r="C953" s="72" t="s">
        <v>388</v>
      </c>
      <c r="D953" s="72" t="s">
        <v>382</v>
      </c>
      <c r="E953" s="72"/>
      <c r="F953" s="72"/>
      <c r="G953" s="72"/>
      <c r="H953" s="72"/>
      <c r="I953" s="72"/>
      <c r="J953" s="72"/>
      <c r="K953" s="72"/>
      <c r="L953" s="72" t="s">
        <v>735</v>
      </c>
      <c r="M953" s="72" t="s">
        <v>637</v>
      </c>
      <c r="N953" s="133">
        <v>1022.59</v>
      </c>
      <c r="O953" s="133">
        <v>1022.59</v>
      </c>
      <c r="P953" s="133"/>
      <c r="Q953" s="595">
        <f t="shared" si="15"/>
        <v>0</v>
      </c>
    </row>
    <row r="954" spans="1:17" ht="16.5" hidden="1">
      <c r="A954" s="62" t="s">
        <v>784</v>
      </c>
      <c r="B954" s="72" t="s">
        <v>514</v>
      </c>
      <c r="C954" s="72" t="s">
        <v>388</v>
      </c>
      <c r="D954" s="72" t="s">
        <v>382</v>
      </c>
      <c r="E954" s="72"/>
      <c r="F954" s="72"/>
      <c r="G954" s="72"/>
      <c r="H954" s="72"/>
      <c r="I954" s="72"/>
      <c r="J954" s="72"/>
      <c r="K954" s="72"/>
      <c r="L954" s="72" t="s">
        <v>639</v>
      </c>
      <c r="M954" s="72" t="s">
        <v>645</v>
      </c>
      <c r="N954" s="133"/>
      <c r="O954" s="133"/>
      <c r="P954" s="133"/>
      <c r="Q954" s="595" t="e">
        <f t="shared" si="15"/>
        <v>#DIV/0!</v>
      </c>
    </row>
    <row r="955" spans="1:17" ht="16.5" hidden="1">
      <c r="A955" s="62" t="s">
        <v>786</v>
      </c>
      <c r="B955" s="72" t="s">
        <v>514</v>
      </c>
      <c r="C955" s="72" t="s">
        <v>388</v>
      </c>
      <c r="D955" s="72" t="s">
        <v>382</v>
      </c>
      <c r="E955" s="72"/>
      <c r="F955" s="72"/>
      <c r="G955" s="72"/>
      <c r="H955" s="72"/>
      <c r="I955" s="72"/>
      <c r="J955" s="72"/>
      <c r="K955" s="72"/>
      <c r="L955" s="72" t="s">
        <v>639</v>
      </c>
      <c r="M955" s="72" t="s">
        <v>647</v>
      </c>
      <c r="N955" s="133">
        <v>3.77</v>
      </c>
      <c r="O955" s="133">
        <v>3.77</v>
      </c>
      <c r="P955" s="133"/>
      <c r="Q955" s="595">
        <f t="shared" si="15"/>
        <v>0</v>
      </c>
    </row>
    <row r="956" spans="1:17" ht="16.5" hidden="1">
      <c r="A956" s="62" t="s">
        <v>787</v>
      </c>
      <c r="B956" s="72" t="s">
        <v>514</v>
      </c>
      <c r="C956" s="72" t="s">
        <v>388</v>
      </c>
      <c r="D956" s="72" t="s">
        <v>382</v>
      </c>
      <c r="E956" s="72"/>
      <c r="F956" s="72"/>
      <c r="G956" s="72"/>
      <c r="H956" s="72"/>
      <c r="I956" s="72"/>
      <c r="J956" s="72"/>
      <c r="K956" s="72"/>
      <c r="L956" s="72" t="s">
        <v>639</v>
      </c>
      <c r="M956" s="72" t="s">
        <v>648</v>
      </c>
      <c r="N956" s="133">
        <v>30</v>
      </c>
      <c r="O956" s="133">
        <v>30</v>
      </c>
      <c r="P956" s="133"/>
      <c r="Q956" s="595">
        <f t="shared" si="15"/>
        <v>0</v>
      </c>
    </row>
    <row r="957" spans="1:17" s="79" customFormat="1" ht="13.5" customHeight="1">
      <c r="A957" s="378" t="s">
        <v>854</v>
      </c>
      <c r="B957" s="358" t="s">
        <v>514</v>
      </c>
      <c r="C957" s="358" t="s">
        <v>388</v>
      </c>
      <c r="D957" s="358" t="s">
        <v>382</v>
      </c>
      <c r="E957" s="358" t="s">
        <v>770</v>
      </c>
      <c r="F957" s="358" t="s">
        <v>478</v>
      </c>
      <c r="G957" s="358" t="s">
        <v>789</v>
      </c>
      <c r="H957" s="358" t="s">
        <v>481</v>
      </c>
      <c r="I957" s="358" t="s">
        <v>770</v>
      </c>
      <c r="J957" s="358" t="s">
        <v>478</v>
      </c>
      <c r="K957" s="358" t="s">
        <v>478</v>
      </c>
      <c r="L957" s="358" t="s">
        <v>369</v>
      </c>
      <c r="M957" s="358"/>
      <c r="N957" s="376">
        <v>147.06</v>
      </c>
      <c r="O957" s="376">
        <v>117.75</v>
      </c>
      <c r="P957" s="376">
        <v>117.75</v>
      </c>
      <c r="Q957" s="595">
        <f t="shared" si="15"/>
        <v>1</v>
      </c>
    </row>
    <row r="958" spans="1:17" ht="16.5" hidden="1">
      <c r="A958" s="62" t="s">
        <v>774</v>
      </c>
      <c r="B958" s="72" t="s">
        <v>514</v>
      </c>
      <c r="C958" s="72" t="s">
        <v>388</v>
      </c>
      <c r="D958" s="72" t="s">
        <v>382</v>
      </c>
      <c r="E958" s="72"/>
      <c r="F958" s="72"/>
      <c r="G958" s="72"/>
      <c r="H958" s="72"/>
      <c r="I958" s="72"/>
      <c r="J958" s="72"/>
      <c r="K958" s="72"/>
      <c r="L958" s="72" t="s">
        <v>735</v>
      </c>
      <c r="M958" s="72" t="s">
        <v>636</v>
      </c>
      <c r="N958" s="133">
        <v>515.75</v>
      </c>
      <c r="O958" s="133">
        <v>515.75</v>
      </c>
      <c r="P958" s="133"/>
      <c r="Q958" s="595">
        <f t="shared" si="15"/>
        <v>0</v>
      </c>
    </row>
    <row r="959" spans="1:17" ht="16.5" hidden="1">
      <c r="A959" s="62" t="s">
        <v>775</v>
      </c>
      <c r="B959" s="72" t="s">
        <v>514</v>
      </c>
      <c r="C959" s="72" t="s">
        <v>388</v>
      </c>
      <c r="D959" s="72" t="s">
        <v>382</v>
      </c>
      <c r="E959" s="72"/>
      <c r="F959" s="72"/>
      <c r="G959" s="72"/>
      <c r="H959" s="72"/>
      <c r="I959" s="72"/>
      <c r="J959" s="72"/>
      <c r="K959" s="72"/>
      <c r="L959" s="72" t="s">
        <v>735</v>
      </c>
      <c r="M959" s="72" t="s">
        <v>637</v>
      </c>
      <c r="N959" s="133">
        <v>155.76</v>
      </c>
      <c r="O959" s="133">
        <v>155.76</v>
      </c>
      <c r="P959" s="133"/>
      <c r="Q959" s="595">
        <f t="shared" si="15"/>
        <v>0</v>
      </c>
    </row>
    <row r="960" spans="1:17" s="79" customFormat="1" ht="36" customHeight="1">
      <c r="A960" s="378" t="s">
        <v>894</v>
      </c>
      <c r="B960" s="358" t="s">
        <v>514</v>
      </c>
      <c r="C960" s="358" t="s">
        <v>483</v>
      </c>
      <c r="D960" s="358" t="s">
        <v>387</v>
      </c>
      <c r="E960" s="358" t="s">
        <v>770</v>
      </c>
      <c r="F960" s="358" t="s">
        <v>478</v>
      </c>
      <c r="G960" s="358" t="s">
        <v>789</v>
      </c>
      <c r="H960" s="358" t="s">
        <v>481</v>
      </c>
      <c r="I960" s="358" t="s">
        <v>770</v>
      </c>
      <c r="J960" s="358" t="s">
        <v>478</v>
      </c>
      <c r="K960" s="358" t="s">
        <v>480</v>
      </c>
      <c r="L960" s="358" t="s">
        <v>369</v>
      </c>
      <c r="M960" s="358"/>
      <c r="N960" s="376">
        <v>88.9</v>
      </c>
      <c r="O960" s="376">
        <v>59.53</v>
      </c>
      <c r="P960" s="376">
        <v>59.53</v>
      </c>
      <c r="Q960" s="595">
        <f t="shared" si="15"/>
        <v>1</v>
      </c>
    </row>
    <row r="961" spans="1:17" ht="16.5" hidden="1">
      <c r="A961" s="62" t="s">
        <v>784</v>
      </c>
      <c r="B961" s="72" t="s">
        <v>514</v>
      </c>
      <c r="C961" s="72" t="s">
        <v>388</v>
      </c>
      <c r="D961" s="72" t="s">
        <v>382</v>
      </c>
      <c r="E961" s="72"/>
      <c r="F961" s="72"/>
      <c r="G961" s="72"/>
      <c r="H961" s="72"/>
      <c r="I961" s="72"/>
      <c r="J961" s="72"/>
      <c r="K961" s="72"/>
      <c r="L961" s="72" t="s">
        <v>639</v>
      </c>
      <c r="M961" s="72" t="s">
        <v>645</v>
      </c>
      <c r="N961" s="133"/>
      <c r="O961" s="133"/>
      <c r="P961" s="133"/>
      <c r="Q961" s="595" t="e">
        <f t="shared" si="15"/>
        <v>#DIV/0!</v>
      </c>
    </row>
    <row r="962" spans="1:17" ht="16.5" hidden="1">
      <c r="A962" s="62" t="s">
        <v>855</v>
      </c>
      <c r="B962" s="72" t="s">
        <v>514</v>
      </c>
      <c r="C962" s="72" t="s">
        <v>388</v>
      </c>
      <c r="D962" s="72" t="s">
        <v>382</v>
      </c>
      <c r="E962" s="72"/>
      <c r="F962" s="72"/>
      <c r="G962" s="72"/>
      <c r="H962" s="72"/>
      <c r="I962" s="72"/>
      <c r="J962" s="72"/>
      <c r="K962" s="72"/>
      <c r="L962" s="72" t="s">
        <v>733</v>
      </c>
      <c r="M962" s="72" t="s">
        <v>680</v>
      </c>
      <c r="N962" s="133">
        <v>88.9</v>
      </c>
      <c r="O962" s="133">
        <v>88.9</v>
      </c>
      <c r="P962" s="133"/>
      <c r="Q962" s="595">
        <f t="shared" si="15"/>
        <v>0</v>
      </c>
    </row>
    <row r="963" spans="1:17" s="79" customFormat="1" ht="28.5">
      <c r="A963" s="378" t="s">
        <v>856</v>
      </c>
      <c r="B963" s="358" t="s">
        <v>514</v>
      </c>
      <c r="C963" s="358" t="s">
        <v>388</v>
      </c>
      <c r="D963" s="358" t="s">
        <v>382</v>
      </c>
      <c r="E963" s="358" t="s">
        <v>770</v>
      </c>
      <c r="F963" s="358" t="s">
        <v>478</v>
      </c>
      <c r="G963" s="358" t="s">
        <v>789</v>
      </c>
      <c r="H963" s="358" t="s">
        <v>481</v>
      </c>
      <c r="I963" s="358" t="s">
        <v>770</v>
      </c>
      <c r="J963" s="358" t="s">
        <v>478</v>
      </c>
      <c r="K963" s="358" t="s">
        <v>481</v>
      </c>
      <c r="L963" s="358" t="s">
        <v>369</v>
      </c>
      <c r="M963" s="358"/>
      <c r="N963" s="376">
        <v>41.56</v>
      </c>
      <c r="O963" s="376">
        <v>46.55</v>
      </c>
      <c r="P963" s="376">
        <v>46.55</v>
      </c>
      <c r="Q963" s="595">
        <f t="shared" si="15"/>
        <v>1</v>
      </c>
    </row>
    <row r="964" spans="1:17" ht="16.5" hidden="1">
      <c r="A964" s="62" t="s">
        <v>787</v>
      </c>
      <c r="B964" s="72" t="s">
        <v>514</v>
      </c>
      <c r="C964" s="358" t="s">
        <v>388</v>
      </c>
      <c r="D964" s="358" t="s">
        <v>382</v>
      </c>
      <c r="E964" s="358"/>
      <c r="F964" s="358"/>
      <c r="G964" s="358"/>
      <c r="H964" s="358"/>
      <c r="I964" s="358"/>
      <c r="J964" s="358"/>
      <c r="K964" s="358"/>
      <c r="L964" s="72" t="s">
        <v>639</v>
      </c>
      <c r="M964" s="72" t="s">
        <v>648</v>
      </c>
      <c r="N964" s="133">
        <v>41.56</v>
      </c>
      <c r="O964" s="133">
        <v>41.56</v>
      </c>
      <c r="P964" s="133"/>
      <c r="Q964" s="595">
        <f t="shared" si="15"/>
        <v>0</v>
      </c>
    </row>
    <row r="965" spans="1:17" s="79" customFormat="1" ht="28.5">
      <c r="A965" s="378" t="s">
        <v>857</v>
      </c>
      <c r="B965" s="358" t="s">
        <v>514</v>
      </c>
      <c r="C965" s="358" t="s">
        <v>388</v>
      </c>
      <c r="D965" s="358" t="s">
        <v>382</v>
      </c>
      <c r="E965" s="72" t="s">
        <v>770</v>
      </c>
      <c r="F965" s="72" t="s">
        <v>528</v>
      </c>
      <c r="G965" s="72" t="s">
        <v>478</v>
      </c>
      <c r="H965" s="72" t="s">
        <v>770</v>
      </c>
      <c r="I965" s="72" t="s">
        <v>528</v>
      </c>
      <c r="J965" s="72" t="s">
        <v>770</v>
      </c>
      <c r="K965" s="72" t="s">
        <v>479</v>
      </c>
      <c r="L965" s="358" t="s">
        <v>369</v>
      </c>
      <c r="M965" s="358"/>
      <c r="N965" s="376">
        <f>39.53+4</f>
        <v>43.53</v>
      </c>
      <c r="O965" s="376">
        <v>162.82</v>
      </c>
      <c r="P965" s="376">
        <v>162.82</v>
      </c>
      <c r="Q965" s="595">
        <f t="shared" si="15"/>
        <v>1</v>
      </c>
    </row>
    <row r="966" spans="1:17" ht="16.5" hidden="1">
      <c r="A966" s="62" t="s">
        <v>787</v>
      </c>
      <c r="B966" s="72" t="s">
        <v>514</v>
      </c>
      <c r="C966" s="72" t="s">
        <v>388</v>
      </c>
      <c r="D966" s="72" t="s">
        <v>382</v>
      </c>
      <c r="E966" s="72"/>
      <c r="F966" s="72"/>
      <c r="G966" s="72"/>
      <c r="H966" s="72"/>
      <c r="I966" s="72"/>
      <c r="J966" s="72"/>
      <c r="K966" s="72"/>
      <c r="L966" s="72" t="s">
        <v>639</v>
      </c>
      <c r="M966" s="72" t="s">
        <v>648</v>
      </c>
      <c r="N966" s="133">
        <v>39.53</v>
      </c>
      <c r="O966" s="133">
        <v>39.53</v>
      </c>
      <c r="P966" s="133"/>
      <c r="Q966" s="595">
        <f t="shared" si="15"/>
        <v>0</v>
      </c>
    </row>
    <row r="967" spans="1:17" s="79" customFormat="1" ht="28.5">
      <c r="A967" s="378" t="s">
        <v>895</v>
      </c>
      <c r="B967" s="358" t="s">
        <v>514</v>
      </c>
      <c r="C967" s="358" t="s">
        <v>388</v>
      </c>
      <c r="D967" s="358" t="s">
        <v>382</v>
      </c>
      <c r="E967" s="72" t="s">
        <v>770</v>
      </c>
      <c r="F967" s="72" t="s">
        <v>528</v>
      </c>
      <c r="G967" s="72" t="s">
        <v>478</v>
      </c>
      <c r="H967" s="72" t="s">
        <v>770</v>
      </c>
      <c r="I967" s="72" t="s">
        <v>528</v>
      </c>
      <c r="J967" s="72" t="s">
        <v>770</v>
      </c>
      <c r="K967" s="72" t="s">
        <v>480</v>
      </c>
      <c r="L967" s="358" t="s">
        <v>369</v>
      </c>
      <c r="M967" s="358"/>
      <c r="N967" s="376">
        <f>265.83+89.22</f>
        <v>355.04999999999995</v>
      </c>
      <c r="O967" s="376">
        <f>118.55+75.66</f>
        <v>194.20999999999998</v>
      </c>
      <c r="P967" s="376">
        <v>194.21</v>
      </c>
      <c r="Q967" s="595">
        <f t="shared" si="15"/>
        <v>1.0000000000000002</v>
      </c>
    </row>
    <row r="968" spans="1:17" ht="16.5" hidden="1">
      <c r="A968" s="62" t="s">
        <v>774</v>
      </c>
      <c r="B968" s="72" t="s">
        <v>514</v>
      </c>
      <c r="C968" s="72" t="s">
        <v>388</v>
      </c>
      <c r="D968" s="72" t="s">
        <v>382</v>
      </c>
      <c r="E968" s="72"/>
      <c r="F968" s="72"/>
      <c r="G968" s="72"/>
      <c r="H968" s="72"/>
      <c r="I968" s="72"/>
      <c r="J968" s="72"/>
      <c r="K968" s="72"/>
      <c r="L968" s="72" t="s">
        <v>639</v>
      </c>
      <c r="M968" s="72" t="s">
        <v>636</v>
      </c>
      <c r="N968" s="133">
        <v>61.62</v>
      </c>
      <c r="O968" s="133">
        <v>61.62</v>
      </c>
      <c r="P968" s="133"/>
      <c r="Q968" s="595">
        <f t="shared" si="15"/>
        <v>0</v>
      </c>
    </row>
    <row r="969" spans="1:17" ht="16.5" hidden="1">
      <c r="A969" s="62" t="s">
        <v>775</v>
      </c>
      <c r="B969" s="72" t="s">
        <v>514</v>
      </c>
      <c r="C969" s="72" t="s">
        <v>388</v>
      </c>
      <c r="D969" s="72" t="s">
        <v>382</v>
      </c>
      <c r="E969" s="72"/>
      <c r="F969" s="72"/>
      <c r="G969" s="72"/>
      <c r="H969" s="72"/>
      <c r="I969" s="72"/>
      <c r="J969" s="72"/>
      <c r="K969" s="72"/>
      <c r="L969" s="72" t="s">
        <v>639</v>
      </c>
      <c r="M969" s="72" t="s">
        <v>637</v>
      </c>
      <c r="N969" s="133">
        <v>18.61</v>
      </c>
      <c r="O969" s="133">
        <v>18.61</v>
      </c>
      <c r="P969" s="133"/>
      <c r="Q969" s="595">
        <f t="shared" si="15"/>
        <v>0</v>
      </c>
    </row>
    <row r="970" spans="1:17" ht="16.5" hidden="1">
      <c r="A970" s="62" t="s">
        <v>787</v>
      </c>
      <c r="B970" s="72" t="s">
        <v>514</v>
      </c>
      <c r="C970" s="72" t="s">
        <v>388</v>
      </c>
      <c r="D970" s="72" t="s">
        <v>382</v>
      </c>
      <c r="E970" s="72"/>
      <c r="F970" s="72"/>
      <c r="G970" s="72"/>
      <c r="H970" s="72"/>
      <c r="I970" s="72"/>
      <c r="J970" s="72"/>
      <c r="K970" s="72"/>
      <c r="L970" s="72" t="s">
        <v>639</v>
      </c>
      <c r="M970" s="72" t="s">
        <v>648</v>
      </c>
      <c r="N970" s="133">
        <v>185.6</v>
      </c>
      <c r="O970" s="133">
        <v>185.6</v>
      </c>
      <c r="P970" s="133"/>
      <c r="Q970" s="595">
        <f t="shared" si="15"/>
        <v>0</v>
      </c>
    </row>
    <row r="971" spans="1:17" ht="30">
      <c r="A971" s="62" t="s">
        <v>864</v>
      </c>
      <c r="B971" s="74" t="s">
        <v>514</v>
      </c>
      <c r="C971" s="74" t="s">
        <v>388</v>
      </c>
      <c r="D971" s="74" t="s">
        <v>388</v>
      </c>
      <c r="E971" s="74" t="s">
        <v>770</v>
      </c>
      <c r="F971" s="74" t="s">
        <v>528</v>
      </c>
      <c r="G971" s="74" t="s">
        <v>479</v>
      </c>
      <c r="H971" s="74" t="s">
        <v>770</v>
      </c>
      <c r="I971" s="74" t="s">
        <v>528</v>
      </c>
      <c r="J971" s="74" t="s">
        <v>770</v>
      </c>
      <c r="K971" s="74" t="s">
        <v>479</v>
      </c>
      <c r="L971" s="74" t="s">
        <v>369</v>
      </c>
      <c r="M971" s="74"/>
      <c r="N971" s="566"/>
      <c r="O971" s="568">
        <f>11.09+57.24</f>
        <v>68.33</v>
      </c>
      <c r="P971" s="568">
        <v>68.33</v>
      </c>
      <c r="Q971" s="595">
        <f t="shared" si="15"/>
        <v>1</v>
      </c>
    </row>
    <row r="972" spans="1:17" ht="45">
      <c r="A972" s="51" t="s">
        <v>866</v>
      </c>
      <c r="B972" s="73" t="s">
        <v>514</v>
      </c>
      <c r="C972" s="73" t="s">
        <v>388</v>
      </c>
      <c r="D972" s="73" t="s">
        <v>385</v>
      </c>
      <c r="E972" s="391" t="s">
        <v>770</v>
      </c>
      <c r="F972" s="391" t="s">
        <v>528</v>
      </c>
      <c r="G972" s="391" t="s">
        <v>546</v>
      </c>
      <c r="H972" s="391" t="s">
        <v>770</v>
      </c>
      <c r="I972" s="391" t="s">
        <v>528</v>
      </c>
      <c r="J972" s="391" t="s">
        <v>770</v>
      </c>
      <c r="K972" s="391" t="s">
        <v>546</v>
      </c>
      <c r="L972" s="73" t="s">
        <v>778</v>
      </c>
      <c r="M972" s="73"/>
      <c r="N972" s="371"/>
      <c r="O972" s="569">
        <v>8</v>
      </c>
      <c r="P972" s="569">
        <v>8</v>
      </c>
      <c r="Q972" s="595">
        <f aca="true" t="shared" si="16" ref="Q972:Q1035">P972/O972</f>
        <v>1</v>
      </c>
    </row>
    <row r="973" spans="1:17" s="397" customFormat="1" ht="41.25" customHeight="1">
      <c r="A973" s="401" t="s">
        <v>905</v>
      </c>
      <c r="B973" s="375" t="s">
        <v>514</v>
      </c>
      <c r="C973" s="375"/>
      <c r="D973" s="375"/>
      <c r="E973" s="375"/>
      <c r="F973" s="375"/>
      <c r="G973" s="375"/>
      <c r="H973" s="375"/>
      <c r="I973" s="375"/>
      <c r="J973" s="375"/>
      <c r="K973" s="375"/>
      <c r="L973" s="375"/>
      <c r="M973" s="375"/>
      <c r="N973" s="402">
        <f>N977+N981+N995+N1001+N1004+N1007+N1009+N1011</f>
        <v>8676.169999999998</v>
      </c>
      <c r="O973" s="402">
        <f>O974</f>
        <v>9381.320000000002</v>
      </c>
      <c r="P973" s="402">
        <f>P974</f>
        <v>9208.56</v>
      </c>
      <c r="Q973" s="595">
        <f t="shared" si="16"/>
        <v>0.9815846810470166</v>
      </c>
    </row>
    <row r="974" spans="1:17" ht="16.5">
      <c r="A974" s="62" t="s">
        <v>509</v>
      </c>
      <c r="B974" s="72" t="s">
        <v>514</v>
      </c>
      <c r="C974" s="72" t="s">
        <v>388</v>
      </c>
      <c r="D974" s="72"/>
      <c r="E974" s="72"/>
      <c r="F974" s="72"/>
      <c r="G974" s="72"/>
      <c r="H974" s="72"/>
      <c r="I974" s="72"/>
      <c r="J974" s="72"/>
      <c r="K974" s="72"/>
      <c r="L974" s="72"/>
      <c r="M974" s="72"/>
      <c r="N974" s="133">
        <v>8327.24</v>
      </c>
      <c r="O974" s="133">
        <f>O975</f>
        <v>9381.320000000002</v>
      </c>
      <c r="P974" s="133">
        <f>P975</f>
        <v>9208.56</v>
      </c>
      <c r="Q974" s="595">
        <f t="shared" si="16"/>
        <v>0.9815846810470166</v>
      </c>
    </row>
    <row r="975" spans="1:17" ht="16.5">
      <c r="A975" s="62" t="s">
        <v>512</v>
      </c>
      <c r="B975" s="72" t="s">
        <v>514</v>
      </c>
      <c r="C975" s="72" t="s">
        <v>388</v>
      </c>
      <c r="D975" s="72" t="s">
        <v>382</v>
      </c>
      <c r="E975" s="72"/>
      <c r="F975" s="72"/>
      <c r="G975" s="72"/>
      <c r="H975" s="72"/>
      <c r="I975" s="72"/>
      <c r="J975" s="72"/>
      <c r="K975" s="72"/>
      <c r="L975" s="72"/>
      <c r="M975" s="72"/>
      <c r="N975" s="133">
        <v>8327.24</v>
      </c>
      <c r="O975" s="133">
        <f>O976+O995+O1001+O1004+O1007+O1009+O1011+O1015+O1016+O1017</f>
        <v>9381.320000000002</v>
      </c>
      <c r="P975" s="133">
        <f>P976+P995+P1001+P1004+P1007+P1009+P1011+P1015+P1016+P1017</f>
        <v>9208.56</v>
      </c>
      <c r="Q975" s="595">
        <f t="shared" si="16"/>
        <v>0.9815846810470166</v>
      </c>
    </row>
    <row r="976" spans="1:17" ht="45">
      <c r="A976" s="62" t="s">
        <v>892</v>
      </c>
      <c r="B976" s="72" t="s">
        <v>514</v>
      </c>
      <c r="C976" s="391" t="s">
        <v>388</v>
      </c>
      <c r="D976" s="391" t="s">
        <v>382</v>
      </c>
      <c r="E976" s="391" t="s">
        <v>770</v>
      </c>
      <c r="F976" s="391" t="s">
        <v>528</v>
      </c>
      <c r="G976" s="391"/>
      <c r="H976" s="391"/>
      <c r="I976" s="391"/>
      <c r="J976" s="391"/>
      <c r="K976" s="391"/>
      <c r="L976" s="72" t="s">
        <v>369</v>
      </c>
      <c r="M976" s="72"/>
      <c r="N976" s="133">
        <f>N977+N981</f>
        <v>1253.86</v>
      </c>
      <c r="O976" s="133">
        <f>O977+O981</f>
        <v>1331.62</v>
      </c>
      <c r="P976" s="133">
        <f>P977+P981</f>
        <v>1331.62</v>
      </c>
      <c r="Q976" s="595">
        <f t="shared" si="16"/>
        <v>1</v>
      </c>
    </row>
    <row r="977" spans="1:17" ht="16.5">
      <c r="A977" s="62" t="s">
        <v>850</v>
      </c>
      <c r="B977" s="72" t="s">
        <v>514</v>
      </c>
      <c r="C977" s="391" t="s">
        <v>388</v>
      </c>
      <c r="D977" s="391" t="s">
        <v>382</v>
      </c>
      <c r="E977" s="391" t="s">
        <v>770</v>
      </c>
      <c r="F977" s="391" t="s">
        <v>528</v>
      </c>
      <c r="G977" s="391" t="s">
        <v>478</v>
      </c>
      <c r="H977" s="391" t="s">
        <v>770</v>
      </c>
      <c r="I977" s="391" t="s">
        <v>528</v>
      </c>
      <c r="J977" s="391" t="s">
        <v>770</v>
      </c>
      <c r="K977" s="391" t="s">
        <v>528</v>
      </c>
      <c r="L977" s="72" t="s">
        <v>773</v>
      </c>
      <c r="M977" s="72"/>
      <c r="N977" s="133">
        <v>507.34</v>
      </c>
      <c r="O977" s="133">
        <f>574.55+11.8</f>
        <v>586.3499999999999</v>
      </c>
      <c r="P977" s="133">
        <v>586.35</v>
      </c>
      <c r="Q977" s="595">
        <f t="shared" si="16"/>
        <v>1.0000000000000002</v>
      </c>
    </row>
    <row r="978" spans="1:17" ht="16.5" hidden="1">
      <c r="A978" s="62" t="s">
        <v>774</v>
      </c>
      <c r="B978" s="72" t="s">
        <v>514</v>
      </c>
      <c r="C978" s="391" t="s">
        <v>388</v>
      </c>
      <c r="D978" s="391" t="s">
        <v>382</v>
      </c>
      <c r="E978" s="391"/>
      <c r="F978" s="391"/>
      <c r="G978" s="391"/>
      <c r="H978" s="391"/>
      <c r="I978" s="391"/>
      <c r="J978" s="391"/>
      <c r="K978" s="391"/>
      <c r="L978" s="72" t="s">
        <v>735</v>
      </c>
      <c r="M978" s="72" t="s">
        <v>636</v>
      </c>
      <c r="N978" s="133">
        <v>189.67</v>
      </c>
      <c r="O978" s="133">
        <v>189.67</v>
      </c>
      <c r="P978" s="133"/>
      <c r="Q978" s="595">
        <f t="shared" si="16"/>
        <v>0</v>
      </c>
    </row>
    <row r="979" spans="1:17" ht="16.5" hidden="1">
      <c r="A979" s="62" t="s">
        <v>776</v>
      </c>
      <c r="B979" s="72" t="s">
        <v>514</v>
      </c>
      <c r="C979" s="391" t="s">
        <v>388</v>
      </c>
      <c r="D979" s="391" t="s">
        <v>382</v>
      </c>
      <c r="E979" s="391"/>
      <c r="F979" s="391"/>
      <c r="G979" s="391"/>
      <c r="H979" s="391"/>
      <c r="I979" s="391"/>
      <c r="J979" s="391"/>
      <c r="K979" s="391"/>
      <c r="L979" s="72" t="s">
        <v>676</v>
      </c>
      <c r="M979" s="72" t="s">
        <v>660</v>
      </c>
      <c r="N979" s="133"/>
      <c r="O979" s="133"/>
      <c r="P979" s="133"/>
      <c r="Q979" s="595" t="e">
        <f t="shared" si="16"/>
        <v>#DIV/0!</v>
      </c>
    </row>
    <row r="980" spans="1:17" ht="16.5" hidden="1">
      <c r="A980" s="62" t="s">
        <v>775</v>
      </c>
      <c r="B980" s="72" t="s">
        <v>514</v>
      </c>
      <c r="C980" s="391" t="s">
        <v>388</v>
      </c>
      <c r="D980" s="391" t="s">
        <v>382</v>
      </c>
      <c r="E980" s="391"/>
      <c r="F980" s="391"/>
      <c r="G980" s="391"/>
      <c r="H980" s="391"/>
      <c r="I980" s="391"/>
      <c r="J980" s="391"/>
      <c r="K980" s="391"/>
      <c r="L980" s="72" t="s">
        <v>735</v>
      </c>
      <c r="M980" s="72" t="s">
        <v>637</v>
      </c>
      <c r="N980" s="133">
        <v>57.28</v>
      </c>
      <c r="O980" s="133">
        <v>57.28</v>
      </c>
      <c r="P980" s="133"/>
      <c r="Q980" s="595">
        <f t="shared" si="16"/>
        <v>0</v>
      </c>
    </row>
    <row r="981" spans="1:17" ht="30">
      <c r="A981" s="62" t="s">
        <v>777</v>
      </c>
      <c r="B981" s="72" t="s">
        <v>514</v>
      </c>
      <c r="C981" s="391" t="s">
        <v>388</v>
      </c>
      <c r="D981" s="391" t="s">
        <v>382</v>
      </c>
      <c r="E981" s="391" t="s">
        <v>770</v>
      </c>
      <c r="F981" s="391" t="s">
        <v>528</v>
      </c>
      <c r="G981" s="391" t="s">
        <v>478</v>
      </c>
      <c r="H981" s="391" t="s">
        <v>770</v>
      </c>
      <c r="I981" s="391" t="s">
        <v>528</v>
      </c>
      <c r="J981" s="391" t="s">
        <v>770</v>
      </c>
      <c r="K981" s="391" t="s">
        <v>478</v>
      </c>
      <c r="L981" s="72" t="s">
        <v>778</v>
      </c>
      <c r="M981" s="72"/>
      <c r="N981" s="133">
        <v>746.52</v>
      </c>
      <c r="O981" s="133">
        <v>745.27</v>
      </c>
      <c r="P981" s="133">
        <v>745.27</v>
      </c>
      <c r="Q981" s="595">
        <f t="shared" si="16"/>
        <v>1</v>
      </c>
    </row>
    <row r="982" spans="1:17" ht="21" customHeight="1" hidden="1">
      <c r="A982" s="62" t="s">
        <v>779</v>
      </c>
      <c r="B982" s="72" t="s">
        <v>514</v>
      </c>
      <c r="C982" s="391" t="s">
        <v>388</v>
      </c>
      <c r="D982" s="391" t="s">
        <v>382</v>
      </c>
      <c r="E982" s="391"/>
      <c r="F982" s="391"/>
      <c r="G982" s="391"/>
      <c r="H982" s="391"/>
      <c r="I982" s="391"/>
      <c r="J982" s="391"/>
      <c r="K982" s="391"/>
      <c r="L982" s="72" t="s">
        <v>639</v>
      </c>
      <c r="M982" s="72" t="s">
        <v>640</v>
      </c>
      <c r="N982" s="133">
        <v>6.9</v>
      </c>
      <c r="O982" s="133">
        <v>6.9</v>
      </c>
      <c r="P982" s="133"/>
      <c r="Q982" s="595">
        <f t="shared" si="16"/>
        <v>0</v>
      </c>
    </row>
    <row r="983" spans="1:17" ht="16.5" hidden="1">
      <c r="A983" s="62" t="s">
        <v>780</v>
      </c>
      <c r="B983" s="72" t="s">
        <v>514</v>
      </c>
      <c r="C983" s="391" t="s">
        <v>388</v>
      </c>
      <c r="D983" s="391" t="s">
        <v>382</v>
      </c>
      <c r="E983" s="391"/>
      <c r="F983" s="391"/>
      <c r="G983" s="391"/>
      <c r="H983" s="391"/>
      <c r="I983" s="391"/>
      <c r="J983" s="391"/>
      <c r="K983" s="391"/>
      <c r="L983" s="72" t="s">
        <v>639</v>
      </c>
      <c r="M983" s="72" t="s">
        <v>641</v>
      </c>
      <c r="N983" s="133"/>
      <c r="O983" s="133"/>
      <c r="P983" s="133"/>
      <c r="Q983" s="595" t="e">
        <f t="shared" si="16"/>
        <v>#DIV/0!</v>
      </c>
    </row>
    <row r="984" spans="1:17" ht="16.5" hidden="1">
      <c r="A984" s="62" t="s">
        <v>781</v>
      </c>
      <c r="B984" s="72" t="s">
        <v>514</v>
      </c>
      <c r="C984" s="391" t="s">
        <v>388</v>
      </c>
      <c r="D984" s="391" t="s">
        <v>382</v>
      </c>
      <c r="E984" s="391"/>
      <c r="F984" s="391"/>
      <c r="G984" s="391"/>
      <c r="H984" s="391"/>
      <c r="I984" s="391"/>
      <c r="J984" s="391"/>
      <c r="K984" s="391"/>
      <c r="L984" s="72" t="s">
        <v>639</v>
      </c>
      <c r="M984" s="72" t="s">
        <v>642</v>
      </c>
      <c r="N984" s="133">
        <v>515.13</v>
      </c>
      <c r="O984" s="133">
        <v>515.13</v>
      </c>
      <c r="P984" s="133"/>
      <c r="Q984" s="595">
        <f t="shared" si="16"/>
        <v>0</v>
      </c>
    </row>
    <row r="985" spans="1:17" ht="16.5" hidden="1">
      <c r="A985" s="62" t="s">
        <v>782</v>
      </c>
      <c r="B985" s="72" t="s">
        <v>514</v>
      </c>
      <c r="C985" s="391" t="s">
        <v>388</v>
      </c>
      <c r="D985" s="391" t="s">
        <v>382</v>
      </c>
      <c r="E985" s="391"/>
      <c r="F985" s="391"/>
      <c r="G985" s="391"/>
      <c r="H985" s="391"/>
      <c r="I985" s="391"/>
      <c r="J985" s="391"/>
      <c r="K985" s="391"/>
      <c r="L985" s="72" t="s">
        <v>639</v>
      </c>
      <c r="M985" s="72" t="s">
        <v>643</v>
      </c>
      <c r="N985" s="133"/>
      <c r="O985" s="133"/>
      <c r="P985" s="133"/>
      <c r="Q985" s="595" t="e">
        <f t="shared" si="16"/>
        <v>#DIV/0!</v>
      </c>
    </row>
    <row r="986" spans="1:17" ht="16.5" hidden="1">
      <c r="A986" s="62" t="s">
        <v>783</v>
      </c>
      <c r="B986" s="72" t="s">
        <v>514</v>
      </c>
      <c r="C986" s="391" t="s">
        <v>388</v>
      </c>
      <c r="D986" s="391" t="s">
        <v>382</v>
      </c>
      <c r="E986" s="391"/>
      <c r="F986" s="391"/>
      <c r="G986" s="391"/>
      <c r="H986" s="391"/>
      <c r="I986" s="391"/>
      <c r="J986" s="391"/>
      <c r="K986" s="391"/>
      <c r="L986" s="72" t="s">
        <v>639</v>
      </c>
      <c r="M986" s="72" t="s">
        <v>644</v>
      </c>
      <c r="N986" s="133">
        <v>58.03</v>
      </c>
      <c r="O986" s="133">
        <v>58.03</v>
      </c>
      <c r="P986" s="133"/>
      <c r="Q986" s="595">
        <f t="shared" si="16"/>
        <v>0</v>
      </c>
    </row>
    <row r="987" spans="1:17" ht="16.5" hidden="1">
      <c r="A987" s="62" t="s">
        <v>784</v>
      </c>
      <c r="B987" s="72" t="s">
        <v>514</v>
      </c>
      <c r="C987" s="391" t="s">
        <v>388</v>
      </c>
      <c r="D987" s="391" t="s">
        <v>382</v>
      </c>
      <c r="E987" s="391"/>
      <c r="F987" s="391"/>
      <c r="G987" s="391"/>
      <c r="H987" s="391"/>
      <c r="I987" s="391"/>
      <c r="J987" s="391"/>
      <c r="K987" s="391"/>
      <c r="L987" s="72" t="s">
        <v>639</v>
      </c>
      <c r="M987" s="72" t="s">
        <v>645</v>
      </c>
      <c r="N987" s="133">
        <v>118.33</v>
      </c>
      <c r="O987" s="133">
        <v>118.33</v>
      </c>
      <c r="P987" s="133"/>
      <c r="Q987" s="595">
        <f t="shared" si="16"/>
        <v>0</v>
      </c>
    </row>
    <row r="988" spans="1:17" ht="16.5" hidden="1">
      <c r="A988" s="62" t="s">
        <v>785</v>
      </c>
      <c r="B988" s="72" t="s">
        <v>514</v>
      </c>
      <c r="C988" s="391" t="s">
        <v>388</v>
      </c>
      <c r="D988" s="391" t="s">
        <v>382</v>
      </c>
      <c r="E988" s="391"/>
      <c r="F988" s="391"/>
      <c r="G988" s="391"/>
      <c r="H988" s="391"/>
      <c r="I988" s="391"/>
      <c r="J988" s="391"/>
      <c r="K988" s="391"/>
      <c r="L988" s="72" t="s">
        <v>639</v>
      </c>
      <c r="M988" s="72" t="s">
        <v>646</v>
      </c>
      <c r="N988" s="133">
        <v>1.13</v>
      </c>
      <c r="O988" s="133">
        <v>1.13</v>
      </c>
      <c r="P988" s="133"/>
      <c r="Q988" s="595">
        <f t="shared" si="16"/>
        <v>0</v>
      </c>
    </row>
    <row r="989" spans="1:17" ht="16.5" hidden="1">
      <c r="A989" s="62" t="s">
        <v>786</v>
      </c>
      <c r="B989" s="72" t="s">
        <v>514</v>
      </c>
      <c r="C989" s="391" t="s">
        <v>388</v>
      </c>
      <c r="D989" s="391" t="s">
        <v>382</v>
      </c>
      <c r="E989" s="391"/>
      <c r="F989" s="391"/>
      <c r="G989" s="391"/>
      <c r="H989" s="391"/>
      <c r="I989" s="391"/>
      <c r="J989" s="391"/>
      <c r="K989" s="391"/>
      <c r="L989" s="72" t="s">
        <v>639</v>
      </c>
      <c r="M989" s="72" t="s">
        <v>647</v>
      </c>
      <c r="N989" s="133"/>
      <c r="O989" s="133"/>
      <c r="P989" s="133"/>
      <c r="Q989" s="595" t="e">
        <f t="shared" si="16"/>
        <v>#DIV/0!</v>
      </c>
    </row>
    <row r="990" spans="1:17" ht="16.5" hidden="1">
      <c r="A990" s="62" t="s">
        <v>787</v>
      </c>
      <c r="B990" s="72" t="s">
        <v>514</v>
      </c>
      <c r="C990" s="391" t="s">
        <v>388</v>
      </c>
      <c r="D990" s="391" t="s">
        <v>382</v>
      </c>
      <c r="E990" s="391"/>
      <c r="F990" s="391"/>
      <c r="G990" s="391"/>
      <c r="H990" s="391"/>
      <c r="I990" s="391"/>
      <c r="J990" s="391"/>
      <c r="K990" s="391"/>
      <c r="L990" s="72" t="s">
        <v>639</v>
      </c>
      <c r="M990" s="72" t="s">
        <v>648</v>
      </c>
      <c r="N990" s="133">
        <v>47</v>
      </c>
      <c r="O990" s="133">
        <v>47</v>
      </c>
      <c r="P990" s="133"/>
      <c r="Q990" s="595">
        <f t="shared" si="16"/>
        <v>0</v>
      </c>
    </row>
    <row r="991" spans="1:17" ht="16.5" hidden="1">
      <c r="A991" s="62" t="s">
        <v>510</v>
      </c>
      <c r="B991" s="72" t="s">
        <v>514</v>
      </c>
      <c r="C991" s="391" t="s">
        <v>483</v>
      </c>
      <c r="D991" s="391"/>
      <c r="E991" s="391"/>
      <c r="F991" s="391"/>
      <c r="G991" s="391"/>
      <c r="H991" s="391"/>
      <c r="I991" s="391"/>
      <c r="J991" s="391"/>
      <c r="K991" s="391"/>
      <c r="L991" s="72"/>
      <c r="M991" s="72"/>
      <c r="N991" s="133">
        <v>0</v>
      </c>
      <c r="O991" s="133">
        <v>0</v>
      </c>
      <c r="P991" s="133"/>
      <c r="Q991" s="595" t="e">
        <f t="shared" si="16"/>
        <v>#DIV/0!</v>
      </c>
    </row>
    <row r="992" spans="1:17" ht="16.5" hidden="1">
      <c r="A992" s="62" t="s">
        <v>521</v>
      </c>
      <c r="B992" s="72" t="s">
        <v>514</v>
      </c>
      <c r="C992" s="391" t="s">
        <v>483</v>
      </c>
      <c r="D992" s="391" t="s">
        <v>391</v>
      </c>
      <c r="E992" s="391"/>
      <c r="F992" s="391"/>
      <c r="G992" s="391"/>
      <c r="H992" s="391"/>
      <c r="I992" s="391"/>
      <c r="J992" s="391"/>
      <c r="K992" s="391"/>
      <c r="L992" s="72"/>
      <c r="M992" s="72"/>
      <c r="N992" s="133">
        <v>0</v>
      </c>
      <c r="O992" s="133">
        <v>0</v>
      </c>
      <c r="P992" s="133"/>
      <c r="Q992" s="595" t="e">
        <f t="shared" si="16"/>
        <v>#DIV/0!</v>
      </c>
    </row>
    <row r="993" spans="1:17" ht="45" hidden="1">
      <c r="A993" s="62" t="s">
        <v>842</v>
      </c>
      <c r="B993" s="72" t="s">
        <v>514</v>
      </c>
      <c r="C993" s="391" t="s">
        <v>483</v>
      </c>
      <c r="D993" s="391" t="s">
        <v>391</v>
      </c>
      <c r="E993" s="391" t="s">
        <v>843</v>
      </c>
      <c r="F993" s="391"/>
      <c r="G993" s="391"/>
      <c r="H993" s="391"/>
      <c r="I993" s="391"/>
      <c r="J993" s="391"/>
      <c r="K993" s="391"/>
      <c r="L993" s="72" t="s">
        <v>844</v>
      </c>
      <c r="M993" s="72"/>
      <c r="N993" s="133"/>
      <c r="O993" s="133"/>
      <c r="P993" s="133"/>
      <c r="Q993" s="595" t="e">
        <f t="shared" si="16"/>
        <v>#DIV/0!</v>
      </c>
    </row>
    <row r="994" spans="1:17" ht="45" hidden="1">
      <c r="A994" s="62" t="s">
        <v>842</v>
      </c>
      <c r="B994" s="72" t="s">
        <v>514</v>
      </c>
      <c r="C994" s="391" t="s">
        <v>483</v>
      </c>
      <c r="D994" s="391" t="s">
        <v>391</v>
      </c>
      <c r="E994" s="391" t="s">
        <v>845</v>
      </c>
      <c r="F994" s="391"/>
      <c r="G994" s="391"/>
      <c r="H994" s="391"/>
      <c r="I994" s="391"/>
      <c r="J994" s="391"/>
      <c r="K994" s="391"/>
      <c r="L994" s="72" t="s">
        <v>844</v>
      </c>
      <c r="M994" s="72"/>
      <c r="N994" s="133"/>
      <c r="O994" s="133"/>
      <c r="P994" s="133"/>
      <c r="Q994" s="595" t="e">
        <f t="shared" si="16"/>
        <v>#DIV/0!</v>
      </c>
    </row>
    <row r="995" spans="1:17" s="79" customFormat="1" ht="28.5">
      <c r="A995" s="378" t="s">
        <v>893</v>
      </c>
      <c r="B995" s="358" t="s">
        <v>514</v>
      </c>
      <c r="C995" s="358" t="s">
        <v>388</v>
      </c>
      <c r="D995" s="358" t="s">
        <v>382</v>
      </c>
      <c r="E995" s="358" t="s">
        <v>770</v>
      </c>
      <c r="F995" s="358" t="s">
        <v>478</v>
      </c>
      <c r="G995" s="358" t="s">
        <v>789</v>
      </c>
      <c r="H995" s="358" t="s">
        <v>481</v>
      </c>
      <c r="I995" s="358" t="s">
        <v>770</v>
      </c>
      <c r="J995" s="358" t="s">
        <v>528</v>
      </c>
      <c r="K995" s="358" t="s">
        <v>480</v>
      </c>
      <c r="L995" s="358" t="s">
        <v>369</v>
      </c>
      <c r="M995" s="358"/>
      <c r="N995" s="376">
        <v>6319.55</v>
      </c>
      <c r="O995" s="376">
        <f>6363.39+326.56</f>
        <v>6689.950000000001</v>
      </c>
      <c r="P995" s="376">
        <f>6190.63+326.56</f>
        <v>6517.1900000000005</v>
      </c>
      <c r="Q995" s="595">
        <f t="shared" si="16"/>
        <v>0.9741761896576208</v>
      </c>
    </row>
    <row r="996" spans="1:17" ht="16.5" hidden="1">
      <c r="A996" s="62" t="s">
        <v>774</v>
      </c>
      <c r="B996" s="72" t="s">
        <v>514</v>
      </c>
      <c r="C996" s="72" t="s">
        <v>388</v>
      </c>
      <c r="D996" s="72" t="s">
        <v>382</v>
      </c>
      <c r="E996" s="72"/>
      <c r="F996" s="72"/>
      <c r="G996" s="72"/>
      <c r="H996" s="72"/>
      <c r="I996" s="72"/>
      <c r="J996" s="72"/>
      <c r="K996" s="72"/>
      <c r="L996" s="72" t="s">
        <v>735</v>
      </c>
      <c r="M996" s="72" t="s">
        <v>636</v>
      </c>
      <c r="N996" s="133">
        <v>4416.66</v>
      </c>
      <c r="O996" s="133">
        <v>4416.66</v>
      </c>
      <c r="P996" s="133"/>
      <c r="Q996" s="595">
        <f t="shared" si="16"/>
        <v>0</v>
      </c>
    </row>
    <row r="997" spans="1:17" ht="16.5" hidden="1">
      <c r="A997" s="62" t="s">
        <v>775</v>
      </c>
      <c r="B997" s="72" t="s">
        <v>514</v>
      </c>
      <c r="C997" s="72" t="s">
        <v>388</v>
      </c>
      <c r="D997" s="72" t="s">
        <v>382</v>
      </c>
      <c r="E997" s="72"/>
      <c r="F997" s="72"/>
      <c r="G997" s="72"/>
      <c r="H997" s="72"/>
      <c r="I997" s="72"/>
      <c r="J997" s="72"/>
      <c r="K997" s="72"/>
      <c r="L997" s="72" t="s">
        <v>735</v>
      </c>
      <c r="M997" s="72" t="s">
        <v>637</v>
      </c>
      <c r="N997" s="133">
        <v>1333.83</v>
      </c>
      <c r="O997" s="133">
        <v>1333.83</v>
      </c>
      <c r="P997" s="133"/>
      <c r="Q997" s="595">
        <f t="shared" si="16"/>
        <v>0</v>
      </c>
    </row>
    <row r="998" spans="1:17" ht="16.5" hidden="1">
      <c r="A998" s="62" t="s">
        <v>784</v>
      </c>
      <c r="B998" s="72" t="s">
        <v>514</v>
      </c>
      <c r="C998" s="72" t="s">
        <v>388</v>
      </c>
      <c r="D998" s="72" t="s">
        <v>382</v>
      </c>
      <c r="E998" s="72"/>
      <c r="F998" s="72"/>
      <c r="G998" s="72"/>
      <c r="H998" s="72"/>
      <c r="I998" s="72"/>
      <c r="J998" s="72"/>
      <c r="K998" s="72"/>
      <c r="L998" s="72" t="s">
        <v>639</v>
      </c>
      <c r="M998" s="72" t="s">
        <v>645</v>
      </c>
      <c r="N998" s="133"/>
      <c r="O998" s="133"/>
      <c r="P998" s="133"/>
      <c r="Q998" s="595" t="e">
        <f t="shared" si="16"/>
        <v>#DIV/0!</v>
      </c>
    </row>
    <row r="999" spans="1:17" ht="16.5" hidden="1">
      <c r="A999" s="62" t="s">
        <v>786</v>
      </c>
      <c r="B999" s="72" t="s">
        <v>514</v>
      </c>
      <c r="C999" s="72" t="s">
        <v>388</v>
      </c>
      <c r="D999" s="72" t="s">
        <v>382</v>
      </c>
      <c r="E999" s="72"/>
      <c r="F999" s="72"/>
      <c r="G999" s="72"/>
      <c r="H999" s="72"/>
      <c r="I999" s="72"/>
      <c r="J999" s="72"/>
      <c r="K999" s="72"/>
      <c r="L999" s="72" t="s">
        <v>639</v>
      </c>
      <c r="M999" s="72" t="s">
        <v>647</v>
      </c>
      <c r="N999" s="133">
        <v>30</v>
      </c>
      <c r="O999" s="133">
        <v>30</v>
      </c>
      <c r="P999" s="133"/>
      <c r="Q999" s="595">
        <f t="shared" si="16"/>
        <v>0</v>
      </c>
    </row>
    <row r="1000" spans="1:17" ht="16.5" hidden="1">
      <c r="A1000" s="62" t="s">
        <v>787</v>
      </c>
      <c r="B1000" s="72" t="s">
        <v>514</v>
      </c>
      <c r="C1000" s="72" t="s">
        <v>388</v>
      </c>
      <c r="D1000" s="72" t="s">
        <v>382</v>
      </c>
      <c r="E1000" s="72"/>
      <c r="F1000" s="72"/>
      <c r="G1000" s="72"/>
      <c r="H1000" s="72"/>
      <c r="I1000" s="72"/>
      <c r="J1000" s="72"/>
      <c r="K1000" s="72"/>
      <c r="L1000" s="72" t="s">
        <v>639</v>
      </c>
      <c r="M1000" s="72" t="s">
        <v>648</v>
      </c>
      <c r="N1000" s="133">
        <v>15.03</v>
      </c>
      <c r="O1000" s="133">
        <v>15.03</v>
      </c>
      <c r="P1000" s="133"/>
      <c r="Q1000" s="595">
        <f t="shared" si="16"/>
        <v>0</v>
      </c>
    </row>
    <row r="1001" spans="1:17" s="370" customFormat="1" ht="16.5">
      <c r="A1001" s="352" t="s">
        <v>854</v>
      </c>
      <c r="B1001" s="379" t="s">
        <v>514</v>
      </c>
      <c r="C1001" s="358" t="s">
        <v>388</v>
      </c>
      <c r="D1001" s="358" t="s">
        <v>382</v>
      </c>
      <c r="E1001" s="358" t="s">
        <v>770</v>
      </c>
      <c r="F1001" s="358" t="s">
        <v>478</v>
      </c>
      <c r="G1001" s="358" t="s">
        <v>789</v>
      </c>
      <c r="H1001" s="358" t="s">
        <v>481</v>
      </c>
      <c r="I1001" s="358" t="s">
        <v>770</v>
      </c>
      <c r="J1001" s="358" t="s">
        <v>478</v>
      </c>
      <c r="K1001" s="358" t="s">
        <v>478</v>
      </c>
      <c r="L1001" s="379" t="s">
        <v>369</v>
      </c>
      <c r="M1001" s="379"/>
      <c r="N1001" s="372">
        <v>148.53</v>
      </c>
      <c r="O1001" s="372">
        <v>169.79</v>
      </c>
      <c r="P1001" s="372">
        <v>169.79</v>
      </c>
      <c r="Q1001" s="595">
        <f t="shared" si="16"/>
        <v>1</v>
      </c>
    </row>
    <row r="1002" spans="1:17" ht="16.5" hidden="1">
      <c r="A1002" s="62" t="s">
        <v>774</v>
      </c>
      <c r="B1002" s="72" t="s">
        <v>514</v>
      </c>
      <c r="C1002" s="72" t="s">
        <v>388</v>
      </c>
      <c r="D1002" s="72" t="s">
        <v>382</v>
      </c>
      <c r="E1002" s="72"/>
      <c r="F1002" s="72"/>
      <c r="G1002" s="72"/>
      <c r="H1002" s="72"/>
      <c r="I1002" s="72"/>
      <c r="J1002" s="72"/>
      <c r="K1002" s="72"/>
      <c r="L1002" s="72" t="s">
        <v>735</v>
      </c>
      <c r="M1002" s="72" t="s">
        <v>636</v>
      </c>
      <c r="N1002" s="133">
        <v>520.92</v>
      </c>
      <c r="O1002" s="133">
        <v>520.92</v>
      </c>
      <c r="P1002" s="133"/>
      <c r="Q1002" s="595">
        <f t="shared" si="16"/>
        <v>0</v>
      </c>
    </row>
    <row r="1003" spans="1:17" ht="16.5" hidden="1">
      <c r="A1003" s="62" t="s">
        <v>775</v>
      </c>
      <c r="B1003" s="72" t="s">
        <v>514</v>
      </c>
      <c r="C1003" s="72" t="s">
        <v>388</v>
      </c>
      <c r="D1003" s="72" t="s">
        <v>382</v>
      </c>
      <c r="E1003" s="72"/>
      <c r="F1003" s="72"/>
      <c r="G1003" s="72"/>
      <c r="H1003" s="72"/>
      <c r="I1003" s="72"/>
      <c r="J1003" s="72"/>
      <c r="K1003" s="72"/>
      <c r="L1003" s="72" t="s">
        <v>735</v>
      </c>
      <c r="M1003" s="72" t="s">
        <v>637</v>
      </c>
      <c r="N1003" s="133">
        <v>157.32</v>
      </c>
      <c r="O1003" s="133">
        <v>157.32</v>
      </c>
      <c r="P1003" s="133"/>
      <c r="Q1003" s="595">
        <f t="shared" si="16"/>
        <v>0</v>
      </c>
    </row>
    <row r="1004" spans="1:17" s="79" customFormat="1" ht="28.5">
      <c r="A1004" s="378" t="s">
        <v>894</v>
      </c>
      <c r="B1004" s="358" t="s">
        <v>514</v>
      </c>
      <c r="C1004" s="358" t="s">
        <v>483</v>
      </c>
      <c r="D1004" s="358" t="s">
        <v>387</v>
      </c>
      <c r="E1004" s="358" t="s">
        <v>770</v>
      </c>
      <c r="F1004" s="358" t="s">
        <v>478</v>
      </c>
      <c r="G1004" s="358" t="s">
        <v>789</v>
      </c>
      <c r="H1004" s="358" t="s">
        <v>481</v>
      </c>
      <c r="I1004" s="358" t="s">
        <v>770</v>
      </c>
      <c r="J1004" s="358" t="s">
        <v>478</v>
      </c>
      <c r="K1004" s="358" t="s">
        <v>480</v>
      </c>
      <c r="L1004" s="358" t="s">
        <v>369</v>
      </c>
      <c r="M1004" s="358"/>
      <c r="N1004" s="376">
        <v>131.65</v>
      </c>
      <c r="O1004" s="376">
        <v>169.69</v>
      </c>
      <c r="P1004" s="376">
        <v>169.69</v>
      </c>
      <c r="Q1004" s="595">
        <f t="shared" si="16"/>
        <v>1</v>
      </c>
    </row>
    <row r="1005" spans="1:17" ht="16.5" hidden="1">
      <c r="A1005" s="62" t="s">
        <v>784</v>
      </c>
      <c r="B1005" s="72" t="s">
        <v>514</v>
      </c>
      <c r="C1005" s="72" t="s">
        <v>388</v>
      </c>
      <c r="D1005" s="72" t="s">
        <v>382</v>
      </c>
      <c r="E1005" s="72"/>
      <c r="F1005" s="72"/>
      <c r="G1005" s="72"/>
      <c r="H1005" s="72"/>
      <c r="I1005" s="72"/>
      <c r="J1005" s="72"/>
      <c r="K1005" s="72"/>
      <c r="L1005" s="72" t="s">
        <v>639</v>
      </c>
      <c r="M1005" s="72" t="s">
        <v>645</v>
      </c>
      <c r="N1005" s="133"/>
      <c r="O1005" s="133"/>
      <c r="P1005" s="133"/>
      <c r="Q1005" s="595" t="e">
        <f t="shared" si="16"/>
        <v>#DIV/0!</v>
      </c>
    </row>
    <row r="1006" spans="1:17" ht="16.5" hidden="1">
      <c r="A1006" s="62" t="s">
        <v>855</v>
      </c>
      <c r="B1006" s="72" t="s">
        <v>514</v>
      </c>
      <c r="C1006" s="72" t="s">
        <v>388</v>
      </c>
      <c r="D1006" s="72" t="s">
        <v>382</v>
      </c>
      <c r="E1006" s="72"/>
      <c r="F1006" s="72"/>
      <c r="G1006" s="72"/>
      <c r="H1006" s="72"/>
      <c r="I1006" s="72"/>
      <c r="J1006" s="72"/>
      <c r="K1006" s="72"/>
      <c r="L1006" s="72" t="s">
        <v>733</v>
      </c>
      <c r="M1006" s="72" t="s">
        <v>680</v>
      </c>
      <c r="N1006" s="133">
        <v>131.65</v>
      </c>
      <c r="O1006" s="133">
        <v>131.65</v>
      </c>
      <c r="P1006" s="133"/>
      <c r="Q1006" s="595">
        <f t="shared" si="16"/>
        <v>0</v>
      </c>
    </row>
    <row r="1007" spans="1:17" s="79" customFormat="1" ht="28.5">
      <c r="A1007" s="378" t="s">
        <v>856</v>
      </c>
      <c r="B1007" s="358" t="s">
        <v>514</v>
      </c>
      <c r="C1007" s="358" t="s">
        <v>388</v>
      </c>
      <c r="D1007" s="358" t="s">
        <v>382</v>
      </c>
      <c r="E1007" s="358" t="s">
        <v>770</v>
      </c>
      <c r="F1007" s="358" t="s">
        <v>478</v>
      </c>
      <c r="G1007" s="358" t="s">
        <v>789</v>
      </c>
      <c r="H1007" s="358" t="s">
        <v>481</v>
      </c>
      <c r="I1007" s="358" t="s">
        <v>770</v>
      </c>
      <c r="J1007" s="358" t="s">
        <v>478</v>
      </c>
      <c r="K1007" s="358" t="s">
        <v>481</v>
      </c>
      <c r="L1007" s="358" t="s">
        <v>369</v>
      </c>
      <c r="M1007" s="358"/>
      <c r="N1007" s="376">
        <v>55</v>
      </c>
      <c r="O1007" s="376">
        <v>48.85</v>
      </c>
      <c r="P1007" s="376">
        <v>48.85</v>
      </c>
      <c r="Q1007" s="595">
        <f t="shared" si="16"/>
        <v>1</v>
      </c>
    </row>
    <row r="1008" spans="1:17" ht="16.5" hidden="1">
      <c r="A1008" s="62" t="s">
        <v>787</v>
      </c>
      <c r="B1008" s="72" t="s">
        <v>514</v>
      </c>
      <c r="C1008" s="358" t="s">
        <v>388</v>
      </c>
      <c r="D1008" s="358" t="s">
        <v>382</v>
      </c>
      <c r="E1008" s="358"/>
      <c r="F1008" s="358"/>
      <c r="G1008" s="358"/>
      <c r="H1008" s="358"/>
      <c r="I1008" s="358"/>
      <c r="J1008" s="358"/>
      <c r="K1008" s="358"/>
      <c r="L1008" s="72" t="s">
        <v>639</v>
      </c>
      <c r="M1008" s="72" t="s">
        <v>648</v>
      </c>
      <c r="N1008" s="133">
        <v>55</v>
      </c>
      <c r="O1008" s="133">
        <v>55</v>
      </c>
      <c r="P1008" s="133"/>
      <c r="Q1008" s="595">
        <f t="shared" si="16"/>
        <v>0</v>
      </c>
    </row>
    <row r="1009" spans="1:17" s="79" customFormat="1" ht="28.5">
      <c r="A1009" s="378" t="s">
        <v>857</v>
      </c>
      <c r="B1009" s="358" t="s">
        <v>514</v>
      </c>
      <c r="C1009" s="358" t="s">
        <v>388</v>
      </c>
      <c r="D1009" s="358" t="s">
        <v>382</v>
      </c>
      <c r="E1009" s="72" t="s">
        <v>770</v>
      </c>
      <c r="F1009" s="72" t="s">
        <v>528</v>
      </c>
      <c r="G1009" s="72" t="s">
        <v>478</v>
      </c>
      <c r="H1009" s="72" t="s">
        <v>770</v>
      </c>
      <c r="I1009" s="72" t="s">
        <v>528</v>
      </c>
      <c r="J1009" s="72" t="s">
        <v>770</v>
      </c>
      <c r="K1009" s="72" t="s">
        <v>479</v>
      </c>
      <c r="L1009" s="358" t="s">
        <v>369</v>
      </c>
      <c r="M1009" s="358"/>
      <c r="N1009" s="376">
        <f>52.45+5</f>
        <v>57.45</v>
      </c>
      <c r="O1009" s="376">
        <v>210.07</v>
      </c>
      <c r="P1009" s="376">
        <v>210.07</v>
      </c>
      <c r="Q1009" s="595">
        <f t="shared" si="16"/>
        <v>1</v>
      </c>
    </row>
    <row r="1010" spans="1:17" ht="16.5" hidden="1">
      <c r="A1010" s="62" t="s">
        <v>787</v>
      </c>
      <c r="B1010" s="72" t="s">
        <v>514</v>
      </c>
      <c r="C1010" s="72" t="s">
        <v>388</v>
      </c>
      <c r="D1010" s="72" t="s">
        <v>382</v>
      </c>
      <c r="E1010" s="72"/>
      <c r="F1010" s="72"/>
      <c r="G1010" s="72"/>
      <c r="H1010" s="72"/>
      <c r="I1010" s="72"/>
      <c r="J1010" s="72"/>
      <c r="K1010" s="72"/>
      <c r="L1010" s="72" t="s">
        <v>639</v>
      </c>
      <c r="M1010" s="72" t="s">
        <v>648</v>
      </c>
      <c r="N1010" s="133">
        <v>52.45</v>
      </c>
      <c r="O1010" s="133">
        <v>52.45</v>
      </c>
      <c r="P1010" s="133"/>
      <c r="Q1010" s="595">
        <f t="shared" si="16"/>
        <v>0</v>
      </c>
    </row>
    <row r="1011" spans="1:17" s="79" customFormat="1" ht="28.5">
      <c r="A1011" s="378" t="s">
        <v>895</v>
      </c>
      <c r="B1011" s="358" t="s">
        <v>514</v>
      </c>
      <c r="C1011" s="358" t="s">
        <v>388</v>
      </c>
      <c r="D1011" s="358" t="s">
        <v>382</v>
      </c>
      <c r="E1011" s="72" t="s">
        <v>770</v>
      </c>
      <c r="F1011" s="72" t="s">
        <v>528</v>
      </c>
      <c r="G1011" s="72" t="s">
        <v>478</v>
      </c>
      <c r="H1011" s="72" t="s">
        <v>770</v>
      </c>
      <c r="I1011" s="72" t="s">
        <v>528</v>
      </c>
      <c r="J1011" s="72" t="s">
        <v>770</v>
      </c>
      <c r="K1011" s="72" t="s">
        <v>480</v>
      </c>
      <c r="L1011" s="358" t="s">
        <v>369</v>
      </c>
      <c r="M1011" s="358"/>
      <c r="N1011" s="376">
        <f>620.91+89.22</f>
        <v>710.13</v>
      </c>
      <c r="O1011" s="376">
        <f>154.13+458.23</f>
        <v>612.36</v>
      </c>
      <c r="P1011" s="376">
        <v>612.36</v>
      </c>
      <c r="Q1011" s="595">
        <f t="shared" si="16"/>
        <v>1</v>
      </c>
    </row>
    <row r="1012" spans="1:17" ht="16.5" hidden="1">
      <c r="A1012" s="62" t="s">
        <v>774</v>
      </c>
      <c r="B1012" s="72" t="s">
        <v>514</v>
      </c>
      <c r="C1012" s="72" t="s">
        <v>388</v>
      </c>
      <c r="D1012" s="72" t="s">
        <v>382</v>
      </c>
      <c r="E1012" s="72"/>
      <c r="F1012" s="72"/>
      <c r="G1012" s="72"/>
      <c r="H1012" s="72"/>
      <c r="I1012" s="72"/>
      <c r="J1012" s="72"/>
      <c r="K1012" s="72"/>
      <c r="L1012" s="72" t="s">
        <v>639</v>
      </c>
      <c r="M1012" s="72" t="s">
        <v>636</v>
      </c>
      <c r="N1012" s="133">
        <v>205.06</v>
      </c>
      <c r="O1012" s="133">
        <v>205.06</v>
      </c>
      <c r="P1012" s="133"/>
      <c r="Q1012" s="595">
        <f t="shared" si="16"/>
        <v>0</v>
      </c>
    </row>
    <row r="1013" spans="1:17" ht="16.5" hidden="1">
      <c r="A1013" s="62" t="s">
        <v>775</v>
      </c>
      <c r="B1013" s="72" t="s">
        <v>514</v>
      </c>
      <c r="C1013" s="72" t="s">
        <v>388</v>
      </c>
      <c r="D1013" s="72" t="s">
        <v>382</v>
      </c>
      <c r="E1013" s="72"/>
      <c r="F1013" s="72"/>
      <c r="G1013" s="72"/>
      <c r="H1013" s="72"/>
      <c r="I1013" s="72"/>
      <c r="J1013" s="72"/>
      <c r="K1013" s="72"/>
      <c r="L1013" s="72" t="s">
        <v>639</v>
      </c>
      <c r="M1013" s="72" t="s">
        <v>637</v>
      </c>
      <c r="N1013" s="133">
        <v>61.93</v>
      </c>
      <c r="O1013" s="133">
        <v>61.93</v>
      </c>
      <c r="P1013" s="133"/>
      <c r="Q1013" s="595">
        <f t="shared" si="16"/>
        <v>0</v>
      </c>
    </row>
    <row r="1014" spans="1:17" ht="16.5" hidden="1">
      <c r="A1014" s="62" t="s">
        <v>787</v>
      </c>
      <c r="B1014" s="72" t="s">
        <v>514</v>
      </c>
      <c r="C1014" s="72" t="s">
        <v>388</v>
      </c>
      <c r="D1014" s="72" t="s">
        <v>382</v>
      </c>
      <c r="E1014" s="72"/>
      <c r="F1014" s="72"/>
      <c r="G1014" s="72"/>
      <c r="H1014" s="72"/>
      <c r="I1014" s="72"/>
      <c r="J1014" s="72"/>
      <c r="K1014" s="72"/>
      <c r="L1014" s="72" t="s">
        <v>639</v>
      </c>
      <c r="M1014" s="72" t="s">
        <v>648</v>
      </c>
      <c r="N1014" s="133">
        <v>353.92</v>
      </c>
      <c r="O1014" s="133">
        <v>353.92</v>
      </c>
      <c r="P1014" s="133"/>
      <c r="Q1014" s="595">
        <f t="shared" si="16"/>
        <v>0</v>
      </c>
    </row>
    <row r="1015" spans="1:17" ht="57" customHeight="1">
      <c r="A1015" s="62" t="s">
        <v>952</v>
      </c>
      <c r="B1015" s="72" t="s">
        <v>514</v>
      </c>
      <c r="C1015" s="72" t="s">
        <v>388</v>
      </c>
      <c r="D1015" s="72" t="s">
        <v>382</v>
      </c>
      <c r="E1015" s="72" t="s">
        <v>552</v>
      </c>
      <c r="F1015" s="72" t="s">
        <v>552</v>
      </c>
      <c r="G1015" s="72" t="s">
        <v>528</v>
      </c>
      <c r="H1015" s="72" t="s">
        <v>552</v>
      </c>
      <c r="I1015" s="72" t="s">
        <v>770</v>
      </c>
      <c r="J1015" s="72" t="s">
        <v>770</v>
      </c>
      <c r="K1015" s="72" t="s">
        <v>528</v>
      </c>
      <c r="L1015" s="72" t="s">
        <v>778</v>
      </c>
      <c r="M1015" s="72"/>
      <c r="N1015" s="133">
        <v>0</v>
      </c>
      <c r="O1015" s="133">
        <v>80</v>
      </c>
      <c r="P1015" s="133">
        <v>80</v>
      </c>
      <c r="Q1015" s="595">
        <f t="shared" si="16"/>
        <v>1</v>
      </c>
    </row>
    <row r="1016" spans="1:17" ht="57" customHeight="1">
      <c r="A1016" s="62" t="s">
        <v>864</v>
      </c>
      <c r="B1016" s="74" t="s">
        <v>514</v>
      </c>
      <c r="C1016" s="74" t="s">
        <v>388</v>
      </c>
      <c r="D1016" s="74" t="s">
        <v>388</v>
      </c>
      <c r="E1016" s="74" t="s">
        <v>770</v>
      </c>
      <c r="F1016" s="74" t="s">
        <v>528</v>
      </c>
      <c r="G1016" s="74" t="s">
        <v>479</v>
      </c>
      <c r="H1016" s="74" t="s">
        <v>770</v>
      </c>
      <c r="I1016" s="74" t="s">
        <v>528</v>
      </c>
      <c r="J1016" s="74" t="s">
        <v>770</v>
      </c>
      <c r="K1016" s="74" t="s">
        <v>479</v>
      </c>
      <c r="L1016" s="74" t="s">
        <v>369</v>
      </c>
      <c r="M1016" s="74"/>
      <c r="N1016" s="566"/>
      <c r="O1016" s="568">
        <f>6.75+57.24</f>
        <v>63.99</v>
      </c>
      <c r="P1016" s="568">
        <v>63.99</v>
      </c>
      <c r="Q1016" s="595">
        <f t="shared" si="16"/>
        <v>1</v>
      </c>
    </row>
    <row r="1017" spans="1:17" ht="57" customHeight="1">
      <c r="A1017" s="51" t="s">
        <v>866</v>
      </c>
      <c r="B1017" s="73" t="s">
        <v>514</v>
      </c>
      <c r="C1017" s="73" t="s">
        <v>388</v>
      </c>
      <c r="D1017" s="73" t="s">
        <v>385</v>
      </c>
      <c r="E1017" s="391" t="s">
        <v>770</v>
      </c>
      <c r="F1017" s="391" t="s">
        <v>528</v>
      </c>
      <c r="G1017" s="391" t="s">
        <v>546</v>
      </c>
      <c r="H1017" s="391" t="s">
        <v>770</v>
      </c>
      <c r="I1017" s="391" t="s">
        <v>528</v>
      </c>
      <c r="J1017" s="391" t="s">
        <v>770</v>
      </c>
      <c r="K1017" s="391" t="s">
        <v>546</v>
      </c>
      <c r="L1017" s="73" t="s">
        <v>778</v>
      </c>
      <c r="M1017" s="73"/>
      <c r="N1017" s="371"/>
      <c r="O1017" s="569">
        <v>5</v>
      </c>
      <c r="P1017" s="569">
        <v>5</v>
      </c>
      <c r="Q1017" s="595">
        <f t="shared" si="16"/>
        <v>1</v>
      </c>
    </row>
    <row r="1018" spans="1:17" s="397" customFormat="1" ht="45" customHeight="1">
      <c r="A1018" s="401" t="s">
        <v>906</v>
      </c>
      <c r="B1018" s="375" t="s">
        <v>514</v>
      </c>
      <c r="C1018" s="375"/>
      <c r="D1018" s="375"/>
      <c r="E1018" s="375"/>
      <c r="F1018" s="375"/>
      <c r="G1018" s="375"/>
      <c r="H1018" s="375"/>
      <c r="I1018" s="375"/>
      <c r="J1018" s="375"/>
      <c r="K1018" s="375"/>
      <c r="L1018" s="375"/>
      <c r="M1018" s="375"/>
      <c r="N1018" s="402">
        <f>N1022+N1026+N1040+N1046+N1049+N1052+N1054+N1056</f>
        <v>2028.81</v>
      </c>
      <c r="O1018" s="402">
        <f>O1019</f>
        <v>1200.7</v>
      </c>
      <c r="P1018" s="402">
        <f>P1019</f>
        <v>1200.7</v>
      </c>
      <c r="Q1018" s="595">
        <f t="shared" si="16"/>
        <v>1</v>
      </c>
    </row>
    <row r="1019" spans="1:17" ht="16.5">
      <c r="A1019" s="62" t="s">
        <v>509</v>
      </c>
      <c r="B1019" s="72" t="s">
        <v>514</v>
      </c>
      <c r="C1019" s="72" t="s">
        <v>388</v>
      </c>
      <c r="D1019" s="72"/>
      <c r="E1019" s="72"/>
      <c r="F1019" s="72"/>
      <c r="G1019" s="72"/>
      <c r="H1019" s="72"/>
      <c r="I1019" s="72"/>
      <c r="J1019" s="72"/>
      <c r="K1019" s="72"/>
      <c r="L1019" s="72"/>
      <c r="M1019" s="72"/>
      <c r="N1019" s="133">
        <v>2247.65</v>
      </c>
      <c r="O1019" s="133">
        <f>O1020</f>
        <v>1200.7</v>
      </c>
      <c r="P1019" s="133">
        <f>P1020</f>
        <v>1200.7</v>
      </c>
      <c r="Q1019" s="595">
        <f t="shared" si="16"/>
        <v>1</v>
      </c>
    </row>
    <row r="1020" spans="1:17" ht="16.5">
      <c r="A1020" s="62" t="s">
        <v>512</v>
      </c>
      <c r="B1020" s="72" t="s">
        <v>514</v>
      </c>
      <c r="C1020" s="72" t="s">
        <v>388</v>
      </c>
      <c r="D1020" s="72" t="s">
        <v>382</v>
      </c>
      <c r="E1020" s="72"/>
      <c r="F1020" s="72"/>
      <c r="G1020" s="72"/>
      <c r="H1020" s="72"/>
      <c r="I1020" s="72"/>
      <c r="J1020" s="72"/>
      <c r="K1020" s="72"/>
      <c r="L1020" s="72"/>
      <c r="M1020" s="72"/>
      <c r="N1020" s="133">
        <v>2247.65</v>
      </c>
      <c r="O1020" s="133">
        <f>O1021+O1040+O1046</f>
        <v>1200.7</v>
      </c>
      <c r="P1020" s="133">
        <f>P1021+P1040+P1046</f>
        <v>1200.7</v>
      </c>
      <c r="Q1020" s="595">
        <f t="shared" si="16"/>
        <v>1</v>
      </c>
    </row>
    <row r="1021" spans="1:17" ht="45">
      <c r="A1021" s="62" t="s">
        <v>892</v>
      </c>
      <c r="B1021" s="72" t="s">
        <v>514</v>
      </c>
      <c r="C1021" s="391" t="s">
        <v>388</v>
      </c>
      <c r="D1021" s="391" t="s">
        <v>382</v>
      </c>
      <c r="E1021" s="391" t="s">
        <v>770</v>
      </c>
      <c r="F1021" s="391" t="s">
        <v>528</v>
      </c>
      <c r="G1021" s="391"/>
      <c r="H1021" s="391"/>
      <c r="I1021" s="391"/>
      <c r="J1021" s="391"/>
      <c r="K1021" s="391"/>
      <c r="L1021" s="72" t="s">
        <v>369</v>
      </c>
      <c r="M1021" s="72"/>
      <c r="N1021" s="133">
        <v>86.37</v>
      </c>
      <c r="O1021" s="133">
        <f>O1022+O1026</f>
        <v>64.97999999999999</v>
      </c>
      <c r="P1021" s="133">
        <f>P1022+P1026</f>
        <v>64.97999999999999</v>
      </c>
      <c r="Q1021" s="595">
        <f t="shared" si="16"/>
        <v>1</v>
      </c>
    </row>
    <row r="1022" spans="1:17" ht="16.5">
      <c r="A1022" s="62" t="s">
        <v>850</v>
      </c>
      <c r="B1022" s="72" t="s">
        <v>514</v>
      </c>
      <c r="C1022" s="391" t="s">
        <v>388</v>
      </c>
      <c r="D1022" s="391" t="s">
        <v>382</v>
      </c>
      <c r="E1022" s="391" t="s">
        <v>770</v>
      </c>
      <c r="F1022" s="391" t="s">
        <v>528</v>
      </c>
      <c r="G1022" s="391" t="s">
        <v>478</v>
      </c>
      <c r="H1022" s="391" t="s">
        <v>770</v>
      </c>
      <c r="I1022" s="391" t="s">
        <v>528</v>
      </c>
      <c r="J1022" s="391" t="s">
        <v>770</v>
      </c>
      <c r="K1022" s="391" t="s">
        <v>528</v>
      </c>
      <c r="L1022" s="72" t="s">
        <v>773</v>
      </c>
      <c r="M1022" s="72"/>
      <c r="N1022" s="133">
        <v>0</v>
      </c>
      <c r="O1022" s="133">
        <v>6.5</v>
      </c>
      <c r="P1022" s="133">
        <v>6.5</v>
      </c>
      <c r="Q1022" s="595">
        <f t="shared" si="16"/>
        <v>1</v>
      </c>
    </row>
    <row r="1023" spans="1:17" ht="16.5" hidden="1">
      <c r="A1023" s="62" t="s">
        <v>774</v>
      </c>
      <c r="B1023" s="72" t="s">
        <v>514</v>
      </c>
      <c r="C1023" s="391" t="s">
        <v>388</v>
      </c>
      <c r="D1023" s="391" t="s">
        <v>382</v>
      </c>
      <c r="E1023" s="391"/>
      <c r="F1023" s="391"/>
      <c r="G1023" s="391"/>
      <c r="H1023" s="391"/>
      <c r="I1023" s="391"/>
      <c r="J1023" s="391"/>
      <c r="K1023" s="391"/>
      <c r="L1023" s="72" t="s">
        <v>735</v>
      </c>
      <c r="M1023" s="72" t="s">
        <v>636</v>
      </c>
      <c r="N1023" s="133"/>
      <c r="O1023" s="133"/>
      <c r="P1023" s="133"/>
      <c r="Q1023" s="595" t="e">
        <f t="shared" si="16"/>
        <v>#DIV/0!</v>
      </c>
    </row>
    <row r="1024" spans="1:17" ht="16.5" hidden="1">
      <c r="A1024" s="62" t="s">
        <v>776</v>
      </c>
      <c r="B1024" s="72" t="s">
        <v>514</v>
      </c>
      <c r="C1024" s="391" t="s">
        <v>388</v>
      </c>
      <c r="D1024" s="391" t="s">
        <v>382</v>
      </c>
      <c r="E1024" s="391"/>
      <c r="F1024" s="391"/>
      <c r="G1024" s="391"/>
      <c r="H1024" s="391"/>
      <c r="I1024" s="391"/>
      <c r="J1024" s="391"/>
      <c r="K1024" s="391"/>
      <c r="L1024" s="72" t="s">
        <v>676</v>
      </c>
      <c r="M1024" s="72" t="s">
        <v>660</v>
      </c>
      <c r="N1024" s="133"/>
      <c r="O1024" s="133"/>
      <c r="P1024" s="133"/>
      <c r="Q1024" s="595" t="e">
        <f t="shared" si="16"/>
        <v>#DIV/0!</v>
      </c>
    </row>
    <row r="1025" spans="1:17" ht="16.5" hidden="1">
      <c r="A1025" s="62" t="s">
        <v>775</v>
      </c>
      <c r="B1025" s="72" t="s">
        <v>514</v>
      </c>
      <c r="C1025" s="391" t="s">
        <v>388</v>
      </c>
      <c r="D1025" s="391" t="s">
        <v>382</v>
      </c>
      <c r="E1025" s="391"/>
      <c r="F1025" s="391"/>
      <c r="G1025" s="391"/>
      <c r="H1025" s="391"/>
      <c r="I1025" s="391"/>
      <c r="J1025" s="391"/>
      <c r="K1025" s="391"/>
      <c r="L1025" s="72" t="s">
        <v>735</v>
      </c>
      <c r="M1025" s="72" t="s">
        <v>637</v>
      </c>
      <c r="N1025" s="133"/>
      <c r="O1025" s="133"/>
      <c r="P1025" s="133"/>
      <c r="Q1025" s="595" t="e">
        <f t="shared" si="16"/>
        <v>#DIV/0!</v>
      </c>
    </row>
    <row r="1026" spans="1:17" ht="30">
      <c r="A1026" s="62" t="s">
        <v>777</v>
      </c>
      <c r="B1026" s="72" t="s">
        <v>514</v>
      </c>
      <c r="C1026" s="391" t="s">
        <v>388</v>
      </c>
      <c r="D1026" s="391" t="s">
        <v>382</v>
      </c>
      <c r="E1026" s="391" t="s">
        <v>770</v>
      </c>
      <c r="F1026" s="391" t="s">
        <v>528</v>
      </c>
      <c r="G1026" s="391" t="s">
        <v>478</v>
      </c>
      <c r="H1026" s="391" t="s">
        <v>770</v>
      </c>
      <c r="I1026" s="391" t="s">
        <v>528</v>
      </c>
      <c r="J1026" s="391" t="s">
        <v>770</v>
      </c>
      <c r="K1026" s="391" t="s">
        <v>478</v>
      </c>
      <c r="L1026" s="72" t="s">
        <v>778</v>
      </c>
      <c r="M1026" s="72"/>
      <c r="N1026" s="133">
        <v>86.37</v>
      </c>
      <c r="O1026" s="133">
        <v>58.48</v>
      </c>
      <c r="P1026" s="133">
        <v>58.48</v>
      </c>
      <c r="Q1026" s="595">
        <f t="shared" si="16"/>
        <v>1</v>
      </c>
    </row>
    <row r="1027" spans="1:17" ht="16.5" hidden="1">
      <c r="A1027" s="62" t="s">
        <v>779</v>
      </c>
      <c r="B1027" s="72" t="s">
        <v>514</v>
      </c>
      <c r="C1027" s="391" t="s">
        <v>388</v>
      </c>
      <c r="D1027" s="391" t="s">
        <v>382</v>
      </c>
      <c r="E1027" s="391"/>
      <c r="F1027" s="391"/>
      <c r="G1027" s="391"/>
      <c r="H1027" s="391"/>
      <c r="I1027" s="391"/>
      <c r="J1027" s="391"/>
      <c r="K1027" s="391"/>
      <c r="L1027" s="72" t="s">
        <v>639</v>
      </c>
      <c r="M1027" s="72" t="s">
        <v>640</v>
      </c>
      <c r="N1027" s="133">
        <v>9.6</v>
      </c>
      <c r="O1027" s="133">
        <v>9.6</v>
      </c>
      <c r="P1027" s="133"/>
      <c r="Q1027" s="595">
        <f t="shared" si="16"/>
        <v>0</v>
      </c>
    </row>
    <row r="1028" spans="1:17" ht="16.5" hidden="1">
      <c r="A1028" s="62" t="s">
        <v>780</v>
      </c>
      <c r="B1028" s="72" t="s">
        <v>514</v>
      </c>
      <c r="C1028" s="391" t="s">
        <v>388</v>
      </c>
      <c r="D1028" s="391" t="s">
        <v>382</v>
      </c>
      <c r="E1028" s="391"/>
      <c r="F1028" s="391"/>
      <c r="G1028" s="391"/>
      <c r="H1028" s="391"/>
      <c r="I1028" s="391"/>
      <c r="J1028" s="391"/>
      <c r="K1028" s="391"/>
      <c r="L1028" s="72" t="s">
        <v>639</v>
      </c>
      <c r="M1028" s="72" t="s">
        <v>641</v>
      </c>
      <c r="N1028" s="133"/>
      <c r="O1028" s="133"/>
      <c r="P1028" s="133"/>
      <c r="Q1028" s="595" t="e">
        <f t="shared" si="16"/>
        <v>#DIV/0!</v>
      </c>
    </row>
    <row r="1029" spans="1:17" ht="16.5" hidden="1">
      <c r="A1029" s="62" t="s">
        <v>781</v>
      </c>
      <c r="B1029" s="72" t="s">
        <v>514</v>
      </c>
      <c r="C1029" s="391" t="s">
        <v>388</v>
      </c>
      <c r="D1029" s="391" t="s">
        <v>382</v>
      </c>
      <c r="E1029" s="391"/>
      <c r="F1029" s="391"/>
      <c r="G1029" s="391"/>
      <c r="H1029" s="391"/>
      <c r="I1029" s="391"/>
      <c r="J1029" s="391"/>
      <c r="K1029" s="391"/>
      <c r="L1029" s="72" t="s">
        <v>639</v>
      </c>
      <c r="M1029" s="72" t="s">
        <v>642</v>
      </c>
      <c r="N1029" s="133"/>
      <c r="O1029" s="133"/>
      <c r="P1029" s="133"/>
      <c r="Q1029" s="595" t="e">
        <f t="shared" si="16"/>
        <v>#DIV/0!</v>
      </c>
    </row>
    <row r="1030" spans="1:17" ht="16.5" hidden="1">
      <c r="A1030" s="62" t="s">
        <v>782</v>
      </c>
      <c r="B1030" s="72" t="s">
        <v>514</v>
      </c>
      <c r="C1030" s="391" t="s">
        <v>388</v>
      </c>
      <c r="D1030" s="391" t="s">
        <v>382</v>
      </c>
      <c r="E1030" s="391"/>
      <c r="F1030" s="391"/>
      <c r="G1030" s="391"/>
      <c r="H1030" s="391"/>
      <c r="I1030" s="391"/>
      <c r="J1030" s="391"/>
      <c r="K1030" s="391"/>
      <c r="L1030" s="72" t="s">
        <v>639</v>
      </c>
      <c r="M1030" s="72" t="s">
        <v>643</v>
      </c>
      <c r="N1030" s="133"/>
      <c r="O1030" s="133"/>
      <c r="P1030" s="133"/>
      <c r="Q1030" s="595" t="e">
        <f t="shared" si="16"/>
        <v>#DIV/0!</v>
      </c>
    </row>
    <row r="1031" spans="1:17" ht="16.5" hidden="1">
      <c r="A1031" s="62" t="s">
        <v>783</v>
      </c>
      <c r="B1031" s="72" t="s">
        <v>514</v>
      </c>
      <c r="C1031" s="391" t="s">
        <v>388</v>
      </c>
      <c r="D1031" s="391" t="s">
        <v>382</v>
      </c>
      <c r="E1031" s="391"/>
      <c r="F1031" s="391"/>
      <c r="G1031" s="391"/>
      <c r="H1031" s="391"/>
      <c r="I1031" s="391"/>
      <c r="J1031" s="391"/>
      <c r="K1031" s="391"/>
      <c r="L1031" s="72" t="s">
        <v>639</v>
      </c>
      <c r="M1031" s="72" t="s">
        <v>644</v>
      </c>
      <c r="N1031" s="133">
        <v>5</v>
      </c>
      <c r="O1031" s="133">
        <v>5</v>
      </c>
      <c r="P1031" s="133"/>
      <c r="Q1031" s="595">
        <f t="shared" si="16"/>
        <v>0</v>
      </c>
    </row>
    <row r="1032" spans="1:17" ht="16.5" hidden="1">
      <c r="A1032" s="62" t="s">
        <v>784</v>
      </c>
      <c r="B1032" s="72" t="s">
        <v>514</v>
      </c>
      <c r="C1032" s="391" t="s">
        <v>388</v>
      </c>
      <c r="D1032" s="391" t="s">
        <v>382</v>
      </c>
      <c r="E1032" s="391"/>
      <c r="F1032" s="391"/>
      <c r="G1032" s="391"/>
      <c r="H1032" s="391"/>
      <c r="I1032" s="391"/>
      <c r="J1032" s="391"/>
      <c r="K1032" s="391"/>
      <c r="L1032" s="72" t="s">
        <v>639</v>
      </c>
      <c r="M1032" s="72" t="s">
        <v>645</v>
      </c>
      <c r="N1032" s="133">
        <v>54.77</v>
      </c>
      <c r="O1032" s="133">
        <v>54.77</v>
      </c>
      <c r="P1032" s="133"/>
      <c r="Q1032" s="595">
        <f t="shared" si="16"/>
        <v>0</v>
      </c>
    </row>
    <row r="1033" spans="1:17" ht="16.5" hidden="1">
      <c r="A1033" s="62" t="s">
        <v>785</v>
      </c>
      <c r="B1033" s="72" t="s">
        <v>514</v>
      </c>
      <c r="C1033" s="391" t="s">
        <v>388</v>
      </c>
      <c r="D1033" s="391" t="s">
        <v>382</v>
      </c>
      <c r="E1033" s="391"/>
      <c r="F1033" s="391"/>
      <c r="G1033" s="391"/>
      <c r="H1033" s="391"/>
      <c r="I1033" s="391"/>
      <c r="J1033" s="391"/>
      <c r="K1033" s="391"/>
      <c r="L1033" s="72" t="s">
        <v>639</v>
      </c>
      <c r="M1033" s="72" t="s">
        <v>646</v>
      </c>
      <c r="N1033" s="133">
        <v>4.51</v>
      </c>
      <c r="O1033" s="133">
        <v>4.51</v>
      </c>
      <c r="P1033" s="133"/>
      <c r="Q1033" s="595">
        <f t="shared" si="16"/>
        <v>0</v>
      </c>
    </row>
    <row r="1034" spans="1:17" ht="16.5" hidden="1">
      <c r="A1034" s="62" t="s">
        <v>786</v>
      </c>
      <c r="B1034" s="72" t="s">
        <v>514</v>
      </c>
      <c r="C1034" s="391" t="s">
        <v>388</v>
      </c>
      <c r="D1034" s="391" t="s">
        <v>382</v>
      </c>
      <c r="E1034" s="391"/>
      <c r="F1034" s="391"/>
      <c r="G1034" s="391"/>
      <c r="H1034" s="391"/>
      <c r="I1034" s="391"/>
      <c r="J1034" s="391"/>
      <c r="K1034" s="391"/>
      <c r="L1034" s="72" t="s">
        <v>639</v>
      </c>
      <c r="M1034" s="72" t="s">
        <v>647</v>
      </c>
      <c r="N1034" s="133"/>
      <c r="O1034" s="133"/>
      <c r="P1034" s="133"/>
      <c r="Q1034" s="595" t="e">
        <f t="shared" si="16"/>
        <v>#DIV/0!</v>
      </c>
    </row>
    <row r="1035" spans="1:17" ht="16.5" hidden="1">
      <c r="A1035" s="62" t="s">
        <v>787</v>
      </c>
      <c r="B1035" s="72" t="s">
        <v>514</v>
      </c>
      <c r="C1035" s="391" t="s">
        <v>388</v>
      </c>
      <c r="D1035" s="391" t="s">
        <v>382</v>
      </c>
      <c r="E1035" s="391"/>
      <c r="F1035" s="391"/>
      <c r="G1035" s="391"/>
      <c r="H1035" s="391"/>
      <c r="I1035" s="391"/>
      <c r="J1035" s="391"/>
      <c r="K1035" s="391"/>
      <c r="L1035" s="72" t="s">
        <v>639</v>
      </c>
      <c r="M1035" s="72" t="s">
        <v>648</v>
      </c>
      <c r="N1035" s="133">
        <v>12.49</v>
      </c>
      <c r="O1035" s="133">
        <v>12.49</v>
      </c>
      <c r="P1035" s="133"/>
      <c r="Q1035" s="595">
        <f t="shared" si="16"/>
        <v>0</v>
      </c>
    </row>
    <row r="1036" spans="1:17" ht="16.5">
      <c r="A1036" s="62" t="s">
        <v>510</v>
      </c>
      <c r="B1036" s="72" t="s">
        <v>514</v>
      </c>
      <c r="C1036" s="391" t="s">
        <v>483</v>
      </c>
      <c r="D1036" s="391"/>
      <c r="E1036" s="391"/>
      <c r="F1036" s="391"/>
      <c r="G1036" s="391"/>
      <c r="H1036" s="391"/>
      <c r="I1036" s="391"/>
      <c r="J1036" s="391"/>
      <c r="K1036" s="391"/>
      <c r="L1036" s="72"/>
      <c r="M1036" s="72"/>
      <c r="N1036" s="133">
        <v>0</v>
      </c>
      <c r="O1036" s="133">
        <v>0</v>
      </c>
      <c r="P1036" s="133"/>
      <c r="Q1036" s="595" t="e">
        <f aca="true" t="shared" si="17" ref="Q1036:Q1099">P1036/O1036</f>
        <v>#DIV/0!</v>
      </c>
    </row>
    <row r="1037" spans="1:17" ht="16.5" hidden="1">
      <c r="A1037" s="62" t="s">
        <v>521</v>
      </c>
      <c r="B1037" s="72" t="s">
        <v>514</v>
      </c>
      <c r="C1037" s="391" t="s">
        <v>483</v>
      </c>
      <c r="D1037" s="391" t="s">
        <v>391</v>
      </c>
      <c r="E1037" s="391"/>
      <c r="F1037" s="391"/>
      <c r="G1037" s="391"/>
      <c r="H1037" s="391"/>
      <c r="I1037" s="391"/>
      <c r="J1037" s="391"/>
      <c r="K1037" s="391"/>
      <c r="L1037" s="72"/>
      <c r="M1037" s="72"/>
      <c r="N1037" s="133">
        <v>0</v>
      </c>
      <c r="O1037" s="133">
        <v>0</v>
      </c>
      <c r="P1037" s="133"/>
      <c r="Q1037" s="595" t="e">
        <f t="shared" si="17"/>
        <v>#DIV/0!</v>
      </c>
    </row>
    <row r="1038" spans="1:17" ht="45" hidden="1">
      <c r="A1038" s="62" t="s">
        <v>842</v>
      </c>
      <c r="B1038" s="72" t="s">
        <v>514</v>
      </c>
      <c r="C1038" s="391" t="s">
        <v>483</v>
      </c>
      <c r="D1038" s="391" t="s">
        <v>391</v>
      </c>
      <c r="E1038" s="391" t="s">
        <v>843</v>
      </c>
      <c r="F1038" s="391"/>
      <c r="G1038" s="391"/>
      <c r="H1038" s="391"/>
      <c r="I1038" s="391"/>
      <c r="J1038" s="391"/>
      <c r="K1038" s="391"/>
      <c r="L1038" s="72" t="s">
        <v>844</v>
      </c>
      <c r="M1038" s="72"/>
      <c r="N1038" s="133"/>
      <c r="O1038" s="133"/>
      <c r="P1038" s="133"/>
      <c r="Q1038" s="595" t="e">
        <f t="shared" si="17"/>
        <v>#DIV/0!</v>
      </c>
    </row>
    <row r="1039" spans="1:17" ht="45" hidden="1">
      <c r="A1039" s="62" t="s">
        <v>842</v>
      </c>
      <c r="B1039" s="72" t="s">
        <v>514</v>
      </c>
      <c r="C1039" s="391" t="s">
        <v>483</v>
      </c>
      <c r="D1039" s="391" t="s">
        <v>391</v>
      </c>
      <c r="E1039" s="391" t="s">
        <v>845</v>
      </c>
      <c r="F1039" s="391"/>
      <c r="G1039" s="391"/>
      <c r="H1039" s="391"/>
      <c r="I1039" s="391"/>
      <c r="J1039" s="391"/>
      <c r="K1039" s="391"/>
      <c r="L1039" s="72" t="s">
        <v>844</v>
      </c>
      <c r="M1039" s="72"/>
      <c r="N1039" s="133"/>
      <c r="O1039" s="133"/>
      <c r="P1039" s="133"/>
      <c r="Q1039" s="595" t="e">
        <f t="shared" si="17"/>
        <v>#DIV/0!</v>
      </c>
    </row>
    <row r="1040" spans="1:17" s="79" customFormat="1" ht="28.5">
      <c r="A1040" s="378" t="s">
        <v>893</v>
      </c>
      <c r="B1040" s="358" t="s">
        <v>514</v>
      </c>
      <c r="C1040" s="358" t="s">
        <v>388</v>
      </c>
      <c r="D1040" s="358" t="s">
        <v>382</v>
      </c>
      <c r="E1040" s="358" t="s">
        <v>770</v>
      </c>
      <c r="F1040" s="358" t="s">
        <v>478</v>
      </c>
      <c r="G1040" s="358" t="s">
        <v>789</v>
      </c>
      <c r="H1040" s="358" t="s">
        <v>481</v>
      </c>
      <c r="I1040" s="358" t="s">
        <v>770</v>
      </c>
      <c r="J1040" s="358" t="s">
        <v>528</v>
      </c>
      <c r="K1040" s="358" t="s">
        <v>480</v>
      </c>
      <c r="L1040" s="358" t="s">
        <v>369</v>
      </c>
      <c r="M1040" s="358"/>
      <c r="N1040" s="376">
        <v>1852.44</v>
      </c>
      <c r="O1040" s="376">
        <f>1122.92+12.8</f>
        <v>1135.72</v>
      </c>
      <c r="P1040" s="376">
        <v>1135.72</v>
      </c>
      <c r="Q1040" s="595">
        <f t="shared" si="17"/>
        <v>1</v>
      </c>
    </row>
    <row r="1041" spans="1:17" ht="16.5" hidden="1">
      <c r="A1041" s="62" t="s">
        <v>774</v>
      </c>
      <c r="B1041" s="72" t="s">
        <v>514</v>
      </c>
      <c r="C1041" s="72" t="s">
        <v>388</v>
      </c>
      <c r="D1041" s="72" t="s">
        <v>382</v>
      </c>
      <c r="E1041" s="72"/>
      <c r="F1041" s="72"/>
      <c r="G1041" s="72"/>
      <c r="H1041" s="72"/>
      <c r="I1041" s="72"/>
      <c r="J1041" s="72"/>
      <c r="K1041" s="72"/>
      <c r="L1041" s="72" t="s">
        <v>735</v>
      </c>
      <c r="M1041" s="72" t="s">
        <v>636</v>
      </c>
      <c r="N1041" s="133">
        <v>1294.74</v>
      </c>
      <c r="O1041" s="133">
        <v>1294.74</v>
      </c>
      <c r="P1041" s="133"/>
      <c r="Q1041" s="595">
        <f t="shared" si="17"/>
        <v>0</v>
      </c>
    </row>
    <row r="1042" spans="1:17" ht="16.5" hidden="1">
      <c r="A1042" s="62" t="s">
        <v>775</v>
      </c>
      <c r="B1042" s="72" t="s">
        <v>514</v>
      </c>
      <c r="C1042" s="72" t="s">
        <v>388</v>
      </c>
      <c r="D1042" s="72" t="s">
        <v>382</v>
      </c>
      <c r="E1042" s="72"/>
      <c r="F1042" s="72"/>
      <c r="G1042" s="72"/>
      <c r="H1042" s="72"/>
      <c r="I1042" s="72"/>
      <c r="J1042" s="72"/>
      <c r="K1042" s="72"/>
      <c r="L1042" s="72" t="s">
        <v>735</v>
      </c>
      <c r="M1042" s="72" t="s">
        <v>637</v>
      </c>
      <c r="N1042" s="133">
        <v>391.01</v>
      </c>
      <c r="O1042" s="133">
        <v>391.01</v>
      </c>
      <c r="P1042" s="133"/>
      <c r="Q1042" s="595">
        <f t="shared" si="17"/>
        <v>0</v>
      </c>
    </row>
    <row r="1043" spans="1:17" ht="16.5" hidden="1">
      <c r="A1043" s="62" t="s">
        <v>784</v>
      </c>
      <c r="B1043" s="72" t="s">
        <v>514</v>
      </c>
      <c r="C1043" s="72" t="s">
        <v>388</v>
      </c>
      <c r="D1043" s="72" t="s">
        <v>382</v>
      </c>
      <c r="E1043" s="72"/>
      <c r="F1043" s="72"/>
      <c r="G1043" s="72"/>
      <c r="H1043" s="72"/>
      <c r="I1043" s="72"/>
      <c r="J1043" s="72"/>
      <c r="K1043" s="72"/>
      <c r="L1043" s="72" t="s">
        <v>639</v>
      </c>
      <c r="M1043" s="72" t="s">
        <v>645</v>
      </c>
      <c r="N1043" s="133"/>
      <c r="O1043" s="133"/>
      <c r="P1043" s="133"/>
      <c r="Q1043" s="595" t="e">
        <f t="shared" si="17"/>
        <v>#DIV/0!</v>
      </c>
    </row>
    <row r="1044" spans="1:17" ht="16.5" hidden="1">
      <c r="A1044" s="62" t="s">
        <v>786</v>
      </c>
      <c r="B1044" s="72" t="s">
        <v>514</v>
      </c>
      <c r="C1044" s="72" t="s">
        <v>388</v>
      </c>
      <c r="D1044" s="72" t="s">
        <v>382</v>
      </c>
      <c r="E1044" s="72"/>
      <c r="F1044" s="72"/>
      <c r="G1044" s="72"/>
      <c r="H1044" s="72"/>
      <c r="I1044" s="72"/>
      <c r="J1044" s="72"/>
      <c r="K1044" s="72"/>
      <c r="L1044" s="72" t="s">
        <v>639</v>
      </c>
      <c r="M1044" s="72" t="s">
        <v>647</v>
      </c>
      <c r="N1044" s="133">
        <v>17.47</v>
      </c>
      <c r="O1044" s="133">
        <v>17.47</v>
      </c>
      <c r="P1044" s="133"/>
      <c r="Q1044" s="595">
        <f t="shared" si="17"/>
        <v>0</v>
      </c>
    </row>
    <row r="1045" spans="1:17" ht="16.5" hidden="1">
      <c r="A1045" s="62" t="s">
        <v>787</v>
      </c>
      <c r="B1045" s="72" t="s">
        <v>514</v>
      </c>
      <c r="C1045" s="72" t="s">
        <v>388</v>
      </c>
      <c r="D1045" s="72" t="s">
        <v>382</v>
      </c>
      <c r="E1045" s="72"/>
      <c r="F1045" s="72"/>
      <c r="G1045" s="72"/>
      <c r="H1045" s="72"/>
      <c r="I1045" s="72"/>
      <c r="J1045" s="72"/>
      <c r="K1045" s="72"/>
      <c r="L1045" s="72" t="s">
        <v>639</v>
      </c>
      <c r="M1045" s="72" t="s">
        <v>648</v>
      </c>
      <c r="N1045" s="133">
        <v>47</v>
      </c>
      <c r="O1045" s="133">
        <v>47</v>
      </c>
      <c r="P1045" s="133"/>
      <c r="Q1045" s="595">
        <f t="shared" si="17"/>
        <v>0</v>
      </c>
    </row>
    <row r="1046" spans="1:17" s="79" customFormat="1" ht="16.5">
      <c r="A1046" s="378" t="s">
        <v>854</v>
      </c>
      <c r="B1046" s="358" t="s">
        <v>514</v>
      </c>
      <c r="C1046" s="358" t="s">
        <v>388</v>
      </c>
      <c r="D1046" s="358" t="s">
        <v>382</v>
      </c>
      <c r="E1046" s="358" t="s">
        <v>770</v>
      </c>
      <c r="F1046" s="358" t="s">
        <v>478</v>
      </c>
      <c r="G1046" s="358" t="s">
        <v>789</v>
      </c>
      <c r="H1046" s="358" t="s">
        <v>481</v>
      </c>
      <c r="I1046" s="358" t="s">
        <v>770</v>
      </c>
      <c r="J1046" s="358" t="s">
        <v>478</v>
      </c>
      <c r="K1046" s="358" t="s">
        <v>478</v>
      </c>
      <c r="L1046" s="358" t="s">
        <v>369</v>
      </c>
      <c r="M1046" s="358"/>
      <c r="N1046" s="376">
        <v>90</v>
      </c>
      <c r="O1046" s="376">
        <v>0</v>
      </c>
      <c r="P1046" s="376"/>
      <c r="Q1046" s="595" t="e">
        <f t="shared" si="17"/>
        <v>#DIV/0!</v>
      </c>
    </row>
    <row r="1047" spans="1:17" ht="16.5" hidden="1">
      <c r="A1047" s="62" t="s">
        <v>774</v>
      </c>
      <c r="B1047" s="72" t="s">
        <v>514</v>
      </c>
      <c r="C1047" s="72" t="s">
        <v>388</v>
      </c>
      <c r="D1047" s="72" t="s">
        <v>382</v>
      </c>
      <c r="E1047" s="72"/>
      <c r="F1047" s="72"/>
      <c r="G1047" s="72"/>
      <c r="H1047" s="72"/>
      <c r="I1047" s="72"/>
      <c r="J1047" s="72"/>
      <c r="K1047" s="72"/>
      <c r="L1047" s="72" t="s">
        <v>735</v>
      </c>
      <c r="M1047" s="72" t="s">
        <v>636</v>
      </c>
      <c r="N1047" s="133">
        <v>315.71</v>
      </c>
      <c r="O1047" s="133">
        <v>315.71</v>
      </c>
      <c r="P1047" s="133"/>
      <c r="Q1047" s="595">
        <f t="shared" si="17"/>
        <v>0</v>
      </c>
    </row>
    <row r="1048" spans="1:17" ht="16.5" hidden="1">
      <c r="A1048" s="62" t="s">
        <v>775</v>
      </c>
      <c r="B1048" s="72" t="s">
        <v>514</v>
      </c>
      <c r="C1048" s="72" t="s">
        <v>388</v>
      </c>
      <c r="D1048" s="72" t="s">
        <v>382</v>
      </c>
      <c r="E1048" s="72"/>
      <c r="F1048" s="72"/>
      <c r="G1048" s="72"/>
      <c r="H1048" s="72"/>
      <c r="I1048" s="72"/>
      <c r="J1048" s="72"/>
      <c r="K1048" s="72"/>
      <c r="L1048" s="72" t="s">
        <v>735</v>
      </c>
      <c r="M1048" s="72" t="s">
        <v>637</v>
      </c>
      <c r="N1048" s="133">
        <v>95.35</v>
      </c>
      <c r="O1048" s="133">
        <v>95.35</v>
      </c>
      <c r="P1048" s="133"/>
      <c r="Q1048" s="595">
        <f t="shared" si="17"/>
        <v>0</v>
      </c>
    </row>
    <row r="1049" spans="1:17" s="79" customFormat="1" ht="28.5">
      <c r="A1049" s="378" t="s">
        <v>894</v>
      </c>
      <c r="B1049" s="358" t="s">
        <v>514</v>
      </c>
      <c r="C1049" s="358" t="s">
        <v>483</v>
      </c>
      <c r="D1049" s="358" t="s">
        <v>387</v>
      </c>
      <c r="E1049" s="358" t="s">
        <v>770</v>
      </c>
      <c r="F1049" s="358" t="s">
        <v>478</v>
      </c>
      <c r="G1049" s="358" t="s">
        <v>789</v>
      </c>
      <c r="H1049" s="358" t="s">
        <v>481</v>
      </c>
      <c r="I1049" s="358" t="s">
        <v>770</v>
      </c>
      <c r="J1049" s="358" t="s">
        <v>478</v>
      </c>
      <c r="K1049" s="358" t="s">
        <v>480</v>
      </c>
      <c r="L1049" s="358" t="s">
        <v>369</v>
      </c>
      <c r="M1049" s="358"/>
      <c r="N1049" s="376">
        <v>0</v>
      </c>
      <c r="O1049" s="376">
        <v>0</v>
      </c>
      <c r="P1049" s="376"/>
      <c r="Q1049" s="595" t="e">
        <f t="shared" si="17"/>
        <v>#DIV/0!</v>
      </c>
    </row>
    <row r="1050" spans="1:17" ht="16.5" hidden="1">
      <c r="A1050" s="62" t="s">
        <v>784</v>
      </c>
      <c r="B1050" s="72" t="s">
        <v>514</v>
      </c>
      <c r="C1050" s="72" t="s">
        <v>388</v>
      </c>
      <c r="D1050" s="72" t="s">
        <v>382</v>
      </c>
      <c r="E1050" s="72"/>
      <c r="F1050" s="72"/>
      <c r="G1050" s="72"/>
      <c r="H1050" s="72"/>
      <c r="I1050" s="72"/>
      <c r="J1050" s="72"/>
      <c r="K1050" s="72"/>
      <c r="L1050" s="72" t="s">
        <v>639</v>
      </c>
      <c r="M1050" s="72" t="s">
        <v>645</v>
      </c>
      <c r="N1050" s="133"/>
      <c r="O1050" s="133"/>
      <c r="P1050" s="133"/>
      <c r="Q1050" s="595" t="e">
        <f t="shared" si="17"/>
        <v>#DIV/0!</v>
      </c>
    </row>
    <row r="1051" spans="1:17" ht="16.5" hidden="1">
      <c r="A1051" s="62" t="s">
        <v>855</v>
      </c>
      <c r="B1051" s="72" t="s">
        <v>514</v>
      </c>
      <c r="C1051" s="72" t="s">
        <v>388</v>
      </c>
      <c r="D1051" s="72" t="s">
        <v>382</v>
      </c>
      <c r="E1051" s="72"/>
      <c r="F1051" s="72"/>
      <c r="G1051" s="72"/>
      <c r="H1051" s="72"/>
      <c r="I1051" s="72"/>
      <c r="J1051" s="72"/>
      <c r="K1051" s="72"/>
      <c r="L1051" s="72" t="s">
        <v>733</v>
      </c>
      <c r="M1051" s="72" t="s">
        <v>680</v>
      </c>
      <c r="N1051" s="133"/>
      <c r="O1051" s="133"/>
      <c r="P1051" s="133"/>
      <c r="Q1051" s="595" t="e">
        <f t="shared" si="17"/>
        <v>#DIV/0!</v>
      </c>
    </row>
    <row r="1052" spans="1:17" s="79" customFormat="1" ht="28.5">
      <c r="A1052" s="378" t="s">
        <v>856</v>
      </c>
      <c r="B1052" s="358" t="s">
        <v>514</v>
      </c>
      <c r="C1052" s="358" t="s">
        <v>388</v>
      </c>
      <c r="D1052" s="358" t="s">
        <v>382</v>
      </c>
      <c r="E1052" s="358" t="s">
        <v>770</v>
      </c>
      <c r="F1052" s="358" t="s">
        <v>478</v>
      </c>
      <c r="G1052" s="358" t="s">
        <v>789</v>
      </c>
      <c r="H1052" s="358" t="s">
        <v>481</v>
      </c>
      <c r="I1052" s="358" t="s">
        <v>770</v>
      </c>
      <c r="J1052" s="358" t="s">
        <v>478</v>
      </c>
      <c r="K1052" s="358" t="s">
        <v>481</v>
      </c>
      <c r="L1052" s="358" t="s">
        <v>369</v>
      </c>
      <c r="M1052" s="358"/>
      <c r="N1052" s="376">
        <v>0</v>
      </c>
      <c r="O1052" s="376">
        <v>0</v>
      </c>
      <c r="P1052" s="376"/>
      <c r="Q1052" s="595" t="e">
        <f t="shared" si="17"/>
        <v>#DIV/0!</v>
      </c>
    </row>
    <row r="1053" spans="1:17" ht="16.5" hidden="1">
      <c r="A1053" s="62" t="s">
        <v>787</v>
      </c>
      <c r="B1053" s="72" t="s">
        <v>514</v>
      </c>
      <c r="C1053" s="358" t="s">
        <v>388</v>
      </c>
      <c r="D1053" s="358" t="s">
        <v>382</v>
      </c>
      <c r="E1053" s="358"/>
      <c r="F1053" s="358"/>
      <c r="G1053" s="358"/>
      <c r="H1053" s="358"/>
      <c r="I1053" s="358"/>
      <c r="J1053" s="358"/>
      <c r="K1053" s="358"/>
      <c r="L1053" s="72" t="s">
        <v>639</v>
      </c>
      <c r="M1053" s="72" t="s">
        <v>648</v>
      </c>
      <c r="N1053" s="133"/>
      <c r="O1053" s="133"/>
      <c r="P1053" s="133"/>
      <c r="Q1053" s="595" t="e">
        <f t="shared" si="17"/>
        <v>#DIV/0!</v>
      </c>
    </row>
    <row r="1054" spans="1:17" s="79" customFormat="1" ht="28.5">
      <c r="A1054" s="378" t="s">
        <v>857</v>
      </c>
      <c r="B1054" s="358" t="s">
        <v>514</v>
      </c>
      <c r="C1054" s="358" t="s">
        <v>388</v>
      </c>
      <c r="D1054" s="358" t="s">
        <v>382</v>
      </c>
      <c r="E1054" s="72" t="s">
        <v>770</v>
      </c>
      <c r="F1054" s="72" t="s">
        <v>528</v>
      </c>
      <c r="G1054" s="72" t="s">
        <v>478</v>
      </c>
      <c r="H1054" s="72" t="s">
        <v>770</v>
      </c>
      <c r="I1054" s="72" t="s">
        <v>528</v>
      </c>
      <c r="J1054" s="72" t="s">
        <v>770</v>
      </c>
      <c r="K1054" s="72" t="s">
        <v>479</v>
      </c>
      <c r="L1054" s="358" t="s">
        <v>369</v>
      </c>
      <c r="M1054" s="358"/>
      <c r="N1054" s="376">
        <v>0</v>
      </c>
      <c r="O1054" s="376">
        <v>0</v>
      </c>
      <c r="P1054" s="376"/>
      <c r="Q1054" s="595" t="e">
        <f t="shared" si="17"/>
        <v>#DIV/0!</v>
      </c>
    </row>
    <row r="1055" spans="1:17" ht="16.5" hidden="1">
      <c r="A1055" s="62" t="s">
        <v>787</v>
      </c>
      <c r="B1055" s="72" t="s">
        <v>514</v>
      </c>
      <c r="C1055" s="72" t="s">
        <v>388</v>
      </c>
      <c r="D1055" s="72" t="s">
        <v>382</v>
      </c>
      <c r="E1055" s="72"/>
      <c r="F1055" s="72"/>
      <c r="G1055" s="72"/>
      <c r="H1055" s="72"/>
      <c r="I1055" s="72"/>
      <c r="J1055" s="72"/>
      <c r="K1055" s="72"/>
      <c r="L1055" s="72" t="s">
        <v>639</v>
      </c>
      <c r="M1055" s="72" t="s">
        <v>648</v>
      </c>
      <c r="N1055" s="133"/>
      <c r="O1055" s="133"/>
      <c r="P1055" s="133"/>
      <c r="Q1055" s="595" t="e">
        <f t="shared" si="17"/>
        <v>#DIV/0!</v>
      </c>
    </row>
    <row r="1056" spans="1:17" s="79" customFormat="1" ht="28.5">
      <c r="A1056" s="378" t="s">
        <v>895</v>
      </c>
      <c r="B1056" s="358"/>
      <c r="C1056" s="358" t="s">
        <v>388</v>
      </c>
      <c r="D1056" s="358" t="s">
        <v>382</v>
      </c>
      <c r="E1056" s="72" t="s">
        <v>770</v>
      </c>
      <c r="F1056" s="72" t="s">
        <v>528</v>
      </c>
      <c r="G1056" s="72" t="s">
        <v>478</v>
      </c>
      <c r="H1056" s="72" t="s">
        <v>770</v>
      </c>
      <c r="I1056" s="72" t="s">
        <v>528</v>
      </c>
      <c r="J1056" s="72" t="s">
        <v>770</v>
      </c>
      <c r="K1056" s="72" t="s">
        <v>480</v>
      </c>
      <c r="L1056" s="358" t="s">
        <v>369</v>
      </c>
      <c r="M1056" s="358"/>
      <c r="N1056" s="376">
        <v>0</v>
      </c>
      <c r="O1056" s="376">
        <v>0</v>
      </c>
      <c r="P1056" s="376"/>
      <c r="Q1056" s="595" t="e">
        <f t="shared" si="17"/>
        <v>#DIV/0!</v>
      </c>
    </row>
    <row r="1057" spans="1:17" ht="16.5" hidden="1">
      <c r="A1057" s="62" t="s">
        <v>774</v>
      </c>
      <c r="B1057" s="72" t="s">
        <v>514</v>
      </c>
      <c r="C1057" s="72" t="s">
        <v>388</v>
      </c>
      <c r="D1057" s="72" t="s">
        <v>382</v>
      </c>
      <c r="E1057" s="72"/>
      <c r="F1057" s="72"/>
      <c r="G1057" s="72"/>
      <c r="H1057" s="72"/>
      <c r="I1057" s="72"/>
      <c r="J1057" s="72"/>
      <c r="K1057" s="72"/>
      <c r="L1057" s="72" t="s">
        <v>639</v>
      </c>
      <c r="M1057" s="72" t="s">
        <v>636</v>
      </c>
      <c r="N1057" s="133"/>
      <c r="O1057" s="133"/>
      <c r="P1057" s="133"/>
      <c r="Q1057" s="595" t="e">
        <f t="shared" si="17"/>
        <v>#DIV/0!</v>
      </c>
    </row>
    <row r="1058" spans="1:17" ht="16.5" hidden="1">
      <c r="A1058" s="62" t="s">
        <v>775</v>
      </c>
      <c r="B1058" s="72" t="s">
        <v>514</v>
      </c>
      <c r="C1058" s="72" t="s">
        <v>388</v>
      </c>
      <c r="D1058" s="72" t="s">
        <v>382</v>
      </c>
      <c r="E1058" s="72"/>
      <c r="F1058" s="72"/>
      <c r="G1058" s="72"/>
      <c r="H1058" s="72"/>
      <c r="I1058" s="72"/>
      <c r="J1058" s="72"/>
      <c r="K1058" s="72"/>
      <c r="L1058" s="72" t="s">
        <v>639</v>
      </c>
      <c r="M1058" s="72" t="s">
        <v>637</v>
      </c>
      <c r="N1058" s="133"/>
      <c r="O1058" s="133"/>
      <c r="P1058" s="133"/>
      <c r="Q1058" s="595" t="e">
        <f t="shared" si="17"/>
        <v>#DIV/0!</v>
      </c>
    </row>
    <row r="1059" spans="1:17" ht="16.5" hidden="1">
      <c r="A1059" s="62" t="s">
        <v>787</v>
      </c>
      <c r="B1059" s="72" t="s">
        <v>514</v>
      </c>
      <c r="C1059" s="72" t="s">
        <v>388</v>
      </c>
      <c r="D1059" s="72" t="s">
        <v>382</v>
      </c>
      <c r="E1059" s="72"/>
      <c r="F1059" s="72"/>
      <c r="G1059" s="72"/>
      <c r="H1059" s="72"/>
      <c r="I1059" s="72"/>
      <c r="J1059" s="72"/>
      <c r="K1059" s="72"/>
      <c r="L1059" s="72" t="s">
        <v>639</v>
      </c>
      <c r="M1059" s="72" t="s">
        <v>648</v>
      </c>
      <c r="N1059" s="133"/>
      <c r="O1059" s="133"/>
      <c r="P1059" s="133"/>
      <c r="Q1059" s="595" t="e">
        <f t="shared" si="17"/>
        <v>#DIV/0!</v>
      </c>
    </row>
    <row r="1060" spans="1:17" s="397" customFormat="1" ht="33" customHeight="1">
      <c r="A1060" s="401" t="s">
        <v>907</v>
      </c>
      <c r="B1060" s="375" t="s">
        <v>514</v>
      </c>
      <c r="C1060" s="375"/>
      <c r="D1060" s="375"/>
      <c r="E1060" s="375"/>
      <c r="F1060" s="375"/>
      <c r="G1060" s="375"/>
      <c r="H1060" s="375"/>
      <c r="I1060" s="375"/>
      <c r="J1060" s="375"/>
      <c r="K1060" s="375"/>
      <c r="L1060" s="375"/>
      <c r="M1060" s="375"/>
      <c r="N1060" s="402">
        <f>N1064+N1068+N1082+N1088+N1091+N1094+N1096+N1098</f>
        <v>6039.2</v>
      </c>
      <c r="O1060" s="402">
        <f>O1061</f>
        <v>6432.615999999999</v>
      </c>
      <c r="P1060" s="402">
        <f>P1061</f>
        <v>6259.86</v>
      </c>
      <c r="Q1060" s="595">
        <f t="shared" si="17"/>
        <v>0.9731437412088644</v>
      </c>
    </row>
    <row r="1061" spans="1:17" ht="16.5">
      <c r="A1061" s="62" t="s">
        <v>509</v>
      </c>
      <c r="B1061" s="72" t="s">
        <v>514</v>
      </c>
      <c r="C1061" s="72" t="s">
        <v>388</v>
      </c>
      <c r="D1061" s="72"/>
      <c r="E1061" s="72"/>
      <c r="F1061" s="72"/>
      <c r="G1061" s="72"/>
      <c r="H1061" s="72"/>
      <c r="I1061" s="72"/>
      <c r="J1061" s="72"/>
      <c r="K1061" s="72"/>
      <c r="L1061" s="72"/>
      <c r="M1061" s="72"/>
      <c r="N1061" s="133">
        <v>5964.44</v>
      </c>
      <c r="O1061" s="133">
        <f>O1062</f>
        <v>6432.615999999999</v>
      </c>
      <c r="P1061" s="133">
        <f>P1062</f>
        <v>6259.86</v>
      </c>
      <c r="Q1061" s="595">
        <f t="shared" si="17"/>
        <v>0.9731437412088644</v>
      </c>
    </row>
    <row r="1062" spans="1:17" ht="16.5">
      <c r="A1062" s="62" t="s">
        <v>512</v>
      </c>
      <c r="B1062" s="72" t="s">
        <v>514</v>
      </c>
      <c r="C1062" s="72" t="s">
        <v>388</v>
      </c>
      <c r="D1062" s="72" t="s">
        <v>382</v>
      </c>
      <c r="E1062" s="72"/>
      <c r="F1062" s="72"/>
      <c r="G1062" s="72"/>
      <c r="H1062" s="72"/>
      <c r="I1062" s="72"/>
      <c r="J1062" s="72"/>
      <c r="K1062" s="72"/>
      <c r="L1062" s="72"/>
      <c r="M1062" s="72"/>
      <c r="N1062" s="133">
        <v>5964.44</v>
      </c>
      <c r="O1062" s="133">
        <f>O1063+O1082+O1088+O1091+O1094+O1096+O1098+O1102+O1103+O1104</f>
        <v>6432.615999999999</v>
      </c>
      <c r="P1062" s="133">
        <f>P1063+P1082+P1088+P1091+P1094+P1096+P1098+P1102+P1103+P1104</f>
        <v>6259.86</v>
      </c>
      <c r="Q1062" s="595">
        <f t="shared" si="17"/>
        <v>0.9731437412088644</v>
      </c>
    </row>
    <row r="1063" spans="1:17" ht="45">
      <c r="A1063" s="62" t="s">
        <v>892</v>
      </c>
      <c r="B1063" s="72" t="s">
        <v>514</v>
      </c>
      <c r="C1063" s="391" t="s">
        <v>388</v>
      </c>
      <c r="D1063" s="391" t="s">
        <v>382</v>
      </c>
      <c r="E1063" s="391" t="s">
        <v>770</v>
      </c>
      <c r="F1063" s="391" t="s">
        <v>528</v>
      </c>
      <c r="G1063" s="391"/>
      <c r="H1063" s="391"/>
      <c r="I1063" s="391"/>
      <c r="J1063" s="391"/>
      <c r="K1063" s="391"/>
      <c r="L1063" s="72" t="s">
        <v>369</v>
      </c>
      <c r="M1063" s="72"/>
      <c r="N1063" s="133">
        <v>667.59</v>
      </c>
      <c r="O1063" s="133">
        <f>O1064+O1068</f>
        <v>892.606</v>
      </c>
      <c r="P1063" s="133">
        <f>P1064+P1068</f>
        <v>892.61</v>
      </c>
      <c r="Q1063" s="595">
        <f t="shared" si="17"/>
        <v>1.000004481260489</v>
      </c>
    </row>
    <row r="1064" spans="1:17" ht="16.5">
      <c r="A1064" s="62" t="s">
        <v>850</v>
      </c>
      <c r="B1064" s="72" t="s">
        <v>514</v>
      </c>
      <c r="C1064" s="391" t="s">
        <v>388</v>
      </c>
      <c r="D1064" s="391" t="s">
        <v>382</v>
      </c>
      <c r="E1064" s="391" t="s">
        <v>770</v>
      </c>
      <c r="F1064" s="391" t="s">
        <v>528</v>
      </c>
      <c r="G1064" s="391" t="s">
        <v>478</v>
      </c>
      <c r="H1064" s="391" t="s">
        <v>770</v>
      </c>
      <c r="I1064" s="391" t="s">
        <v>528</v>
      </c>
      <c r="J1064" s="391" t="s">
        <v>770</v>
      </c>
      <c r="K1064" s="391" t="s">
        <v>528</v>
      </c>
      <c r="L1064" s="72" t="s">
        <v>773</v>
      </c>
      <c r="M1064" s="72"/>
      <c r="N1064" s="133">
        <v>372.19</v>
      </c>
      <c r="O1064" s="133">
        <f>28.78+381.456</f>
        <v>410.236</v>
      </c>
      <c r="P1064" s="133">
        <v>410.24</v>
      </c>
      <c r="Q1064" s="595">
        <f t="shared" si="17"/>
        <v>1.0000097504850867</v>
      </c>
    </row>
    <row r="1065" spans="1:17" ht="16.5" hidden="1">
      <c r="A1065" s="62" t="s">
        <v>774</v>
      </c>
      <c r="B1065" s="72" t="s">
        <v>514</v>
      </c>
      <c r="C1065" s="391" t="s">
        <v>388</v>
      </c>
      <c r="D1065" s="391" t="s">
        <v>382</v>
      </c>
      <c r="E1065" s="391"/>
      <c r="F1065" s="391"/>
      <c r="G1065" s="391"/>
      <c r="H1065" s="391"/>
      <c r="I1065" s="391"/>
      <c r="J1065" s="391"/>
      <c r="K1065" s="391"/>
      <c r="L1065" s="72" t="s">
        <v>735</v>
      </c>
      <c r="M1065" s="72" t="s">
        <v>636</v>
      </c>
      <c r="N1065" s="133"/>
      <c r="O1065" s="133"/>
      <c r="P1065" s="133"/>
      <c r="Q1065" s="595" t="e">
        <f t="shared" si="17"/>
        <v>#DIV/0!</v>
      </c>
    </row>
    <row r="1066" spans="1:17" ht="16.5" hidden="1">
      <c r="A1066" s="62" t="s">
        <v>776</v>
      </c>
      <c r="B1066" s="72" t="s">
        <v>514</v>
      </c>
      <c r="C1066" s="391" t="s">
        <v>388</v>
      </c>
      <c r="D1066" s="391" t="s">
        <v>382</v>
      </c>
      <c r="E1066" s="391"/>
      <c r="F1066" s="391"/>
      <c r="G1066" s="391"/>
      <c r="H1066" s="391"/>
      <c r="I1066" s="391"/>
      <c r="J1066" s="391"/>
      <c r="K1066" s="391"/>
      <c r="L1066" s="72" t="s">
        <v>676</v>
      </c>
      <c r="M1066" s="72" t="s">
        <v>660</v>
      </c>
      <c r="N1066" s="133">
        <v>9.6</v>
      </c>
      <c r="O1066" s="133">
        <v>9.6</v>
      </c>
      <c r="P1066" s="133"/>
      <c r="Q1066" s="595">
        <f t="shared" si="17"/>
        <v>0</v>
      </c>
    </row>
    <row r="1067" spans="1:17" ht="16.5" hidden="1">
      <c r="A1067" s="62" t="s">
        <v>775</v>
      </c>
      <c r="B1067" s="72" t="s">
        <v>514</v>
      </c>
      <c r="C1067" s="391" t="s">
        <v>388</v>
      </c>
      <c r="D1067" s="391" t="s">
        <v>382</v>
      </c>
      <c r="E1067" s="391"/>
      <c r="F1067" s="391"/>
      <c r="G1067" s="391"/>
      <c r="H1067" s="391"/>
      <c r="I1067" s="391"/>
      <c r="J1067" s="391"/>
      <c r="K1067" s="391"/>
      <c r="L1067" s="72" t="s">
        <v>735</v>
      </c>
      <c r="M1067" s="72" t="s">
        <v>637</v>
      </c>
      <c r="N1067" s="133"/>
      <c r="O1067" s="133"/>
      <c r="P1067" s="133"/>
      <c r="Q1067" s="595" t="e">
        <f t="shared" si="17"/>
        <v>#DIV/0!</v>
      </c>
    </row>
    <row r="1068" spans="1:17" ht="30">
      <c r="A1068" s="62" t="s">
        <v>777</v>
      </c>
      <c r="B1068" s="72" t="s">
        <v>514</v>
      </c>
      <c r="C1068" s="391" t="s">
        <v>388</v>
      </c>
      <c r="D1068" s="391" t="s">
        <v>382</v>
      </c>
      <c r="E1068" s="391" t="s">
        <v>770</v>
      </c>
      <c r="F1068" s="391" t="s">
        <v>528</v>
      </c>
      <c r="G1068" s="391" t="s">
        <v>478</v>
      </c>
      <c r="H1068" s="391" t="s">
        <v>770</v>
      </c>
      <c r="I1068" s="391" t="s">
        <v>528</v>
      </c>
      <c r="J1068" s="391" t="s">
        <v>770</v>
      </c>
      <c r="K1068" s="391" t="s">
        <v>478</v>
      </c>
      <c r="L1068" s="72" t="s">
        <v>778</v>
      </c>
      <c r="M1068" s="72"/>
      <c r="N1068" s="133">
        <v>657.99</v>
      </c>
      <c r="O1068" s="133">
        <v>482.37</v>
      </c>
      <c r="P1068" s="133">
        <v>482.37</v>
      </c>
      <c r="Q1068" s="595">
        <f t="shared" si="17"/>
        <v>1</v>
      </c>
    </row>
    <row r="1069" spans="1:17" ht="16.5" hidden="1">
      <c r="A1069" s="62" t="s">
        <v>779</v>
      </c>
      <c r="B1069" s="72" t="s">
        <v>514</v>
      </c>
      <c r="C1069" s="391" t="s">
        <v>388</v>
      </c>
      <c r="D1069" s="391" t="s">
        <v>382</v>
      </c>
      <c r="E1069" s="391"/>
      <c r="F1069" s="391"/>
      <c r="G1069" s="391"/>
      <c r="H1069" s="391"/>
      <c r="I1069" s="391"/>
      <c r="J1069" s="391"/>
      <c r="K1069" s="391"/>
      <c r="L1069" s="72" t="s">
        <v>639</v>
      </c>
      <c r="M1069" s="72" t="s">
        <v>640</v>
      </c>
      <c r="N1069" s="133">
        <v>20.6</v>
      </c>
      <c r="O1069" s="133">
        <v>20.6</v>
      </c>
      <c r="P1069" s="133"/>
      <c r="Q1069" s="595">
        <f t="shared" si="17"/>
        <v>0</v>
      </c>
    </row>
    <row r="1070" spans="1:17" ht="16.5" hidden="1">
      <c r="A1070" s="62" t="s">
        <v>780</v>
      </c>
      <c r="B1070" s="72" t="s">
        <v>514</v>
      </c>
      <c r="C1070" s="391" t="s">
        <v>388</v>
      </c>
      <c r="D1070" s="391" t="s">
        <v>382</v>
      </c>
      <c r="E1070" s="391"/>
      <c r="F1070" s="391"/>
      <c r="G1070" s="391"/>
      <c r="H1070" s="391"/>
      <c r="I1070" s="391"/>
      <c r="J1070" s="391"/>
      <c r="K1070" s="391"/>
      <c r="L1070" s="72" t="s">
        <v>639</v>
      </c>
      <c r="M1070" s="72" t="s">
        <v>641</v>
      </c>
      <c r="N1070" s="133"/>
      <c r="O1070" s="133"/>
      <c r="P1070" s="133"/>
      <c r="Q1070" s="595" t="e">
        <f t="shared" si="17"/>
        <v>#DIV/0!</v>
      </c>
    </row>
    <row r="1071" spans="1:17" ht="16.5" hidden="1">
      <c r="A1071" s="62" t="s">
        <v>781</v>
      </c>
      <c r="B1071" s="72" t="s">
        <v>514</v>
      </c>
      <c r="C1071" s="391" t="s">
        <v>388</v>
      </c>
      <c r="D1071" s="391" t="s">
        <v>382</v>
      </c>
      <c r="E1071" s="391"/>
      <c r="F1071" s="391"/>
      <c r="G1071" s="391"/>
      <c r="H1071" s="391"/>
      <c r="I1071" s="391"/>
      <c r="J1071" s="391"/>
      <c r="K1071" s="391"/>
      <c r="L1071" s="72" t="s">
        <v>639</v>
      </c>
      <c r="M1071" s="72" t="s">
        <v>642</v>
      </c>
      <c r="N1071" s="133">
        <v>44.42</v>
      </c>
      <c r="O1071" s="133">
        <v>44.42</v>
      </c>
      <c r="P1071" s="133"/>
      <c r="Q1071" s="595">
        <f t="shared" si="17"/>
        <v>0</v>
      </c>
    </row>
    <row r="1072" spans="1:17" ht="16.5" hidden="1">
      <c r="A1072" s="62" t="s">
        <v>782</v>
      </c>
      <c r="B1072" s="72" t="s">
        <v>514</v>
      </c>
      <c r="C1072" s="391" t="s">
        <v>388</v>
      </c>
      <c r="D1072" s="391" t="s">
        <v>382</v>
      </c>
      <c r="E1072" s="391"/>
      <c r="F1072" s="391"/>
      <c r="G1072" s="391"/>
      <c r="H1072" s="391"/>
      <c r="I1072" s="391"/>
      <c r="J1072" s="391"/>
      <c r="K1072" s="391"/>
      <c r="L1072" s="72" t="s">
        <v>639</v>
      </c>
      <c r="M1072" s="72" t="s">
        <v>643</v>
      </c>
      <c r="N1072" s="133"/>
      <c r="O1072" s="133"/>
      <c r="P1072" s="133"/>
      <c r="Q1072" s="595" t="e">
        <f t="shared" si="17"/>
        <v>#DIV/0!</v>
      </c>
    </row>
    <row r="1073" spans="1:17" ht="16.5" hidden="1">
      <c r="A1073" s="62" t="s">
        <v>783</v>
      </c>
      <c r="B1073" s="72" t="s">
        <v>514</v>
      </c>
      <c r="C1073" s="391" t="s">
        <v>388</v>
      </c>
      <c r="D1073" s="391" t="s">
        <v>382</v>
      </c>
      <c r="E1073" s="391"/>
      <c r="F1073" s="391"/>
      <c r="G1073" s="391"/>
      <c r="H1073" s="391"/>
      <c r="I1073" s="391"/>
      <c r="J1073" s="391"/>
      <c r="K1073" s="391"/>
      <c r="L1073" s="72" t="s">
        <v>639</v>
      </c>
      <c r="M1073" s="72" t="s">
        <v>644</v>
      </c>
      <c r="N1073" s="133">
        <v>116.91</v>
      </c>
      <c r="O1073" s="133">
        <v>116.91</v>
      </c>
      <c r="P1073" s="133"/>
      <c r="Q1073" s="595">
        <f t="shared" si="17"/>
        <v>0</v>
      </c>
    </row>
    <row r="1074" spans="1:17" ht="16.5" hidden="1">
      <c r="A1074" s="62" t="s">
        <v>784</v>
      </c>
      <c r="B1074" s="72" t="s">
        <v>514</v>
      </c>
      <c r="C1074" s="391" t="s">
        <v>388</v>
      </c>
      <c r="D1074" s="391" t="s">
        <v>382</v>
      </c>
      <c r="E1074" s="391"/>
      <c r="F1074" s="391"/>
      <c r="G1074" s="391"/>
      <c r="H1074" s="391"/>
      <c r="I1074" s="391"/>
      <c r="J1074" s="391"/>
      <c r="K1074" s="391"/>
      <c r="L1074" s="72" t="s">
        <v>639</v>
      </c>
      <c r="M1074" s="72" t="s">
        <v>645</v>
      </c>
      <c r="N1074" s="133">
        <v>181.38</v>
      </c>
      <c r="O1074" s="133">
        <v>181.38</v>
      </c>
      <c r="P1074" s="133"/>
      <c r="Q1074" s="595">
        <f t="shared" si="17"/>
        <v>0</v>
      </c>
    </row>
    <row r="1075" spans="1:17" ht="16.5" hidden="1">
      <c r="A1075" s="62" t="s">
        <v>785</v>
      </c>
      <c r="B1075" s="72" t="s">
        <v>514</v>
      </c>
      <c r="C1075" s="391" t="s">
        <v>388</v>
      </c>
      <c r="D1075" s="391" t="s">
        <v>382</v>
      </c>
      <c r="E1075" s="391"/>
      <c r="F1075" s="391"/>
      <c r="G1075" s="391"/>
      <c r="H1075" s="391"/>
      <c r="I1075" s="391"/>
      <c r="J1075" s="391"/>
      <c r="K1075" s="391"/>
      <c r="L1075" s="72" t="s">
        <v>639</v>
      </c>
      <c r="M1075" s="72" t="s">
        <v>646</v>
      </c>
      <c r="N1075" s="133">
        <v>33.11</v>
      </c>
      <c r="O1075" s="133">
        <v>33.11</v>
      </c>
      <c r="P1075" s="133"/>
      <c r="Q1075" s="595">
        <f t="shared" si="17"/>
        <v>0</v>
      </c>
    </row>
    <row r="1076" spans="1:17" ht="16.5" hidden="1">
      <c r="A1076" s="62" t="s">
        <v>786</v>
      </c>
      <c r="B1076" s="72" t="s">
        <v>514</v>
      </c>
      <c r="C1076" s="391" t="s">
        <v>388</v>
      </c>
      <c r="D1076" s="391" t="s">
        <v>382</v>
      </c>
      <c r="E1076" s="391"/>
      <c r="F1076" s="391"/>
      <c r="G1076" s="391"/>
      <c r="H1076" s="391"/>
      <c r="I1076" s="391"/>
      <c r="J1076" s="391"/>
      <c r="K1076" s="391"/>
      <c r="L1076" s="72" t="s">
        <v>639</v>
      </c>
      <c r="M1076" s="72" t="s">
        <v>647</v>
      </c>
      <c r="N1076" s="133">
        <v>59</v>
      </c>
      <c r="O1076" s="133">
        <v>59</v>
      </c>
      <c r="P1076" s="133"/>
      <c r="Q1076" s="595">
        <f t="shared" si="17"/>
        <v>0</v>
      </c>
    </row>
    <row r="1077" spans="1:17" ht="16.5" hidden="1">
      <c r="A1077" s="62" t="s">
        <v>787</v>
      </c>
      <c r="B1077" s="72" t="s">
        <v>514</v>
      </c>
      <c r="C1077" s="391" t="s">
        <v>388</v>
      </c>
      <c r="D1077" s="391" t="s">
        <v>382</v>
      </c>
      <c r="E1077" s="391"/>
      <c r="F1077" s="391"/>
      <c r="G1077" s="391"/>
      <c r="H1077" s="391"/>
      <c r="I1077" s="391"/>
      <c r="J1077" s="391"/>
      <c r="K1077" s="391"/>
      <c r="L1077" s="72" t="s">
        <v>639</v>
      </c>
      <c r="M1077" s="72" t="s">
        <v>648</v>
      </c>
      <c r="N1077" s="133">
        <v>202.57</v>
      </c>
      <c r="O1077" s="133">
        <v>202.57</v>
      </c>
      <c r="P1077" s="133"/>
      <c r="Q1077" s="595">
        <f t="shared" si="17"/>
        <v>0</v>
      </c>
    </row>
    <row r="1078" spans="1:17" ht="16.5" hidden="1">
      <c r="A1078" s="62" t="s">
        <v>510</v>
      </c>
      <c r="B1078" s="72" t="s">
        <v>514</v>
      </c>
      <c r="C1078" s="391" t="s">
        <v>483</v>
      </c>
      <c r="D1078" s="391"/>
      <c r="E1078" s="391"/>
      <c r="F1078" s="391"/>
      <c r="G1078" s="391"/>
      <c r="H1078" s="391"/>
      <c r="I1078" s="391"/>
      <c r="J1078" s="391"/>
      <c r="K1078" s="391"/>
      <c r="L1078" s="72"/>
      <c r="M1078" s="72"/>
      <c r="N1078" s="133">
        <v>0</v>
      </c>
      <c r="O1078" s="133">
        <v>0</v>
      </c>
      <c r="P1078" s="133"/>
      <c r="Q1078" s="595" t="e">
        <f t="shared" si="17"/>
        <v>#DIV/0!</v>
      </c>
    </row>
    <row r="1079" spans="1:17" ht="16.5" hidden="1">
      <c r="A1079" s="62" t="s">
        <v>521</v>
      </c>
      <c r="B1079" s="72" t="s">
        <v>514</v>
      </c>
      <c r="C1079" s="391" t="s">
        <v>483</v>
      </c>
      <c r="D1079" s="391" t="s">
        <v>391</v>
      </c>
      <c r="E1079" s="391"/>
      <c r="F1079" s="391"/>
      <c r="G1079" s="391"/>
      <c r="H1079" s="391"/>
      <c r="I1079" s="391"/>
      <c r="J1079" s="391"/>
      <c r="K1079" s="391"/>
      <c r="L1079" s="72"/>
      <c r="M1079" s="72"/>
      <c r="N1079" s="133">
        <v>0</v>
      </c>
      <c r="O1079" s="133">
        <v>0</v>
      </c>
      <c r="P1079" s="133"/>
      <c r="Q1079" s="595" t="e">
        <f t="shared" si="17"/>
        <v>#DIV/0!</v>
      </c>
    </row>
    <row r="1080" spans="1:17" ht="45" hidden="1">
      <c r="A1080" s="62" t="s">
        <v>842</v>
      </c>
      <c r="B1080" s="72" t="s">
        <v>514</v>
      </c>
      <c r="C1080" s="391" t="s">
        <v>483</v>
      </c>
      <c r="D1080" s="391" t="s">
        <v>391</v>
      </c>
      <c r="E1080" s="391" t="s">
        <v>843</v>
      </c>
      <c r="F1080" s="391"/>
      <c r="G1080" s="391"/>
      <c r="H1080" s="391"/>
      <c r="I1080" s="391"/>
      <c r="J1080" s="391"/>
      <c r="K1080" s="391"/>
      <c r="L1080" s="72" t="s">
        <v>844</v>
      </c>
      <c r="M1080" s="72"/>
      <c r="N1080" s="133"/>
      <c r="O1080" s="133"/>
      <c r="P1080" s="133"/>
      <c r="Q1080" s="595" t="e">
        <f t="shared" si="17"/>
        <v>#DIV/0!</v>
      </c>
    </row>
    <row r="1081" spans="1:17" ht="45" hidden="1">
      <c r="A1081" s="62" t="s">
        <v>842</v>
      </c>
      <c r="B1081" s="72" t="s">
        <v>514</v>
      </c>
      <c r="C1081" s="391" t="s">
        <v>483</v>
      </c>
      <c r="D1081" s="391" t="s">
        <v>391</v>
      </c>
      <c r="E1081" s="391" t="s">
        <v>845</v>
      </c>
      <c r="F1081" s="391"/>
      <c r="G1081" s="391"/>
      <c r="H1081" s="391"/>
      <c r="I1081" s="391"/>
      <c r="J1081" s="391"/>
      <c r="K1081" s="391"/>
      <c r="L1081" s="72" t="s">
        <v>844</v>
      </c>
      <c r="M1081" s="72"/>
      <c r="N1081" s="133"/>
      <c r="O1081" s="133"/>
      <c r="P1081" s="133"/>
      <c r="Q1081" s="595" t="e">
        <f t="shared" si="17"/>
        <v>#DIV/0!</v>
      </c>
    </row>
    <row r="1082" spans="1:17" s="79" customFormat="1" ht="28.5">
      <c r="A1082" s="378" t="s">
        <v>893</v>
      </c>
      <c r="B1082" s="358" t="s">
        <v>514</v>
      </c>
      <c r="C1082" s="358" t="s">
        <v>388</v>
      </c>
      <c r="D1082" s="358" t="s">
        <v>382</v>
      </c>
      <c r="E1082" s="358" t="s">
        <v>770</v>
      </c>
      <c r="F1082" s="358" t="s">
        <v>478</v>
      </c>
      <c r="G1082" s="358" t="s">
        <v>789</v>
      </c>
      <c r="H1082" s="358" t="s">
        <v>481</v>
      </c>
      <c r="I1082" s="358" t="s">
        <v>770</v>
      </c>
      <c r="J1082" s="358" t="s">
        <v>528</v>
      </c>
      <c r="K1082" s="358" t="s">
        <v>480</v>
      </c>
      <c r="L1082" s="358" t="s">
        <v>369</v>
      </c>
      <c r="M1082" s="358"/>
      <c r="N1082" s="376">
        <v>4760.33</v>
      </c>
      <c r="O1082" s="376">
        <f>4812.57+349.89</f>
        <v>5162.46</v>
      </c>
      <c r="P1082" s="376">
        <f>4639.81+349.89</f>
        <v>4989.700000000001</v>
      </c>
      <c r="Q1082" s="595">
        <f t="shared" si="17"/>
        <v>0.9665353339299483</v>
      </c>
    </row>
    <row r="1083" spans="1:17" ht="16.5" hidden="1">
      <c r="A1083" s="62" t="s">
        <v>774</v>
      </c>
      <c r="B1083" s="72" t="s">
        <v>514</v>
      </c>
      <c r="C1083" s="72" t="s">
        <v>388</v>
      </c>
      <c r="D1083" s="72" t="s">
        <v>382</v>
      </c>
      <c r="E1083" s="72"/>
      <c r="F1083" s="72"/>
      <c r="G1083" s="72"/>
      <c r="H1083" s="72"/>
      <c r="I1083" s="72"/>
      <c r="J1083" s="72"/>
      <c r="K1083" s="72"/>
      <c r="L1083" s="72" t="s">
        <v>735</v>
      </c>
      <c r="M1083" s="72" t="s">
        <v>636</v>
      </c>
      <c r="N1083" s="133">
        <v>3455.85</v>
      </c>
      <c r="O1083" s="133">
        <v>3455.85</v>
      </c>
      <c r="P1083" s="133"/>
      <c r="Q1083" s="595">
        <f t="shared" si="17"/>
        <v>0</v>
      </c>
    </row>
    <row r="1084" spans="1:17" ht="16.5" hidden="1">
      <c r="A1084" s="62" t="s">
        <v>775</v>
      </c>
      <c r="B1084" s="72" t="s">
        <v>514</v>
      </c>
      <c r="C1084" s="72" t="s">
        <v>388</v>
      </c>
      <c r="D1084" s="72" t="s">
        <v>382</v>
      </c>
      <c r="E1084" s="72"/>
      <c r="F1084" s="72"/>
      <c r="G1084" s="72"/>
      <c r="H1084" s="72"/>
      <c r="I1084" s="72"/>
      <c r="J1084" s="72"/>
      <c r="K1084" s="72"/>
      <c r="L1084" s="72" t="s">
        <v>735</v>
      </c>
      <c r="M1084" s="72" t="s">
        <v>637</v>
      </c>
      <c r="N1084" s="133">
        <v>1043.67</v>
      </c>
      <c r="O1084" s="133">
        <v>1043.67</v>
      </c>
      <c r="P1084" s="133"/>
      <c r="Q1084" s="595">
        <f t="shared" si="17"/>
        <v>0</v>
      </c>
    </row>
    <row r="1085" spans="1:17" ht="16.5" hidden="1">
      <c r="A1085" s="62" t="s">
        <v>784</v>
      </c>
      <c r="B1085" s="72" t="s">
        <v>514</v>
      </c>
      <c r="C1085" s="72" t="s">
        <v>388</v>
      </c>
      <c r="D1085" s="72" t="s">
        <v>382</v>
      </c>
      <c r="E1085" s="72"/>
      <c r="F1085" s="72"/>
      <c r="G1085" s="72"/>
      <c r="H1085" s="72"/>
      <c r="I1085" s="72"/>
      <c r="J1085" s="72"/>
      <c r="K1085" s="72"/>
      <c r="L1085" s="72" t="s">
        <v>639</v>
      </c>
      <c r="M1085" s="72" t="s">
        <v>645</v>
      </c>
      <c r="N1085" s="133"/>
      <c r="O1085" s="133"/>
      <c r="P1085" s="133"/>
      <c r="Q1085" s="595" t="e">
        <f t="shared" si="17"/>
        <v>#DIV/0!</v>
      </c>
    </row>
    <row r="1086" spans="1:17" ht="16.5" hidden="1">
      <c r="A1086" s="62" t="s">
        <v>786</v>
      </c>
      <c r="B1086" s="72" t="s">
        <v>514</v>
      </c>
      <c r="C1086" s="72" t="s">
        <v>388</v>
      </c>
      <c r="D1086" s="72" t="s">
        <v>382</v>
      </c>
      <c r="E1086" s="72"/>
      <c r="F1086" s="72"/>
      <c r="G1086" s="72"/>
      <c r="H1086" s="72"/>
      <c r="I1086" s="72"/>
      <c r="J1086" s="72"/>
      <c r="K1086" s="72"/>
      <c r="L1086" s="72" t="s">
        <v>639</v>
      </c>
      <c r="M1086" s="72" t="s">
        <v>647</v>
      </c>
      <c r="N1086" s="133">
        <v>10</v>
      </c>
      <c r="O1086" s="133">
        <v>10</v>
      </c>
      <c r="P1086" s="133"/>
      <c r="Q1086" s="595">
        <f t="shared" si="17"/>
        <v>0</v>
      </c>
    </row>
    <row r="1087" spans="1:17" ht="16.5" hidden="1">
      <c r="A1087" s="62" t="s">
        <v>787</v>
      </c>
      <c r="B1087" s="72" t="s">
        <v>514</v>
      </c>
      <c r="C1087" s="72" t="s">
        <v>388</v>
      </c>
      <c r="D1087" s="72" t="s">
        <v>382</v>
      </c>
      <c r="E1087" s="72"/>
      <c r="F1087" s="72"/>
      <c r="G1087" s="72"/>
      <c r="H1087" s="72"/>
      <c r="I1087" s="72"/>
      <c r="J1087" s="72"/>
      <c r="K1087" s="72"/>
      <c r="L1087" s="72" t="s">
        <v>639</v>
      </c>
      <c r="M1087" s="72" t="s">
        <v>648</v>
      </c>
      <c r="N1087" s="133">
        <v>37.07</v>
      </c>
      <c r="O1087" s="133">
        <v>37.07</v>
      </c>
      <c r="P1087" s="133"/>
      <c r="Q1087" s="595">
        <f t="shared" si="17"/>
        <v>0</v>
      </c>
    </row>
    <row r="1088" spans="1:17" s="79" customFormat="1" ht="16.5">
      <c r="A1088" s="378" t="s">
        <v>854</v>
      </c>
      <c r="B1088" s="358" t="s">
        <v>514</v>
      </c>
      <c r="C1088" s="358" t="s">
        <v>388</v>
      </c>
      <c r="D1088" s="358" t="s">
        <v>382</v>
      </c>
      <c r="E1088" s="358" t="s">
        <v>770</v>
      </c>
      <c r="F1088" s="358" t="s">
        <v>478</v>
      </c>
      <c r="G1088" s="358" t="s">
        <v>789</v>
      </c>
      <c r="H1088" s="358" t="s">
        <v>481</v>
      </c>
      <c r="I1088" s="358" t="s">
        <v>770</v>
      </c>
      <c r="J1088" s="358" t="s">
        <v>478</v>
      </c>
      <c r="K1088" s="358" t="s">
        <v>478</v>
      </c>
      <c r="L1088" s="358" t="s">
        <v>369</v>
      </c>
      <c r="M1088" s="358"/>
      <c r="N1088" s="376">
        <v>142.05</v>
      </c>
      <c r="O1088" s="376">
        <v>166.94</v>
      </c>
      <c r="P1088" s="376">
        <v>166.94</v>
      </c>
      <c r="Q1088" s="595">
        <f t="shared" si="17"/>
        <v>1</v>
      </c>
    </row>
    <row r="1089" spans="1:17" ht="16.5" hidden="1">
      <c r="A1089" s="62" t="s">
        <v>774</v>
      </c>
      <c r="B1089" s="72" t="s">
        <v>514</v>
      </c>
      <c r="C1089" s="72" t="s">
        <v>388</v>
      </c>
      <c r="D1089" s="72" t="s">
        <v>382</v>
      </c>
      <c r="E1089" s="72"/>
      <c r="F1089" s="72"/>
      <c r="G1089" s="72"/>
      <c r="H1089" s="72"/>
      <c r="I1089" s="72"/>
      <c r="J1089" s="72"/>
      <c r="K1089" s="72"/>
      <c r="L1089" s="72" t="s">
        <v>735</v>
      </c>
      <c r="M1089" s="72" t="s">
        <v>636</v>
      </c>
      <c r="N1089" s="133">
        <v>498.17</v>
      </c>
      <c r="O1089" s="133">
        <v>498.17</v>
      </c>
      <c r="P1089" s="133"/>
      <c r="Q1089" s="595">
        <f t="shared" si="17"/>
        <v>0</v>
      </c>
    </row>
    <row r="1090" spans="1:17" ht="16.5" hidden="1">
      <c r="A1090" s="62" t="s">
        <v>775</v>
      </c>
      <c r="B1090" s="72" t="s">
        <v>514</v>
      </c>
      <c r="C1090" s="72" t="s">
        <v>388</v>
      </c>
      <c r="D1090" s="72" t="s">
        <v>382</v>
      </c>
      <c r="E1090" s="72"/>
      <c r="F1090" s="72"/>
      <c r="G1090" s="72"/>
      <c r="H1090" s="72"/>
      <c r="I1090" s="72"/>
      <c r="J1090" s="72"/>
      <c r="K1090" s="72"/>
      <c r="L1090" s="72" t="s">
        <v>735</v>
      </c>
      <c r="M1090" s="72" t="s">
        <v>637</v>
      </c>
      <c r="N1090" s="133">
        <v>150.45</v>
      </c>
      <c r="O1090" s="133">
        <v>150.45</v>
      </c>
      <c r="P1090" s="133"/>
      <c r="Q1090" s="595">
        <f t="shared" si="17"/>
        <v>0</v>
      </c>
    </row>
    <row r="1091" spans="1:17" s="79" customFormat="1" ht="28.5">
      <c r="A1091" s="378" t="s">
        <v>894</v>
      </c>
      <c r="B1091" s="358" t="s">
        <v>514</v>
      </c>
      <c r="C1091" s="358" t="s">
        <v>483</v>
      </c>
      <c r="D1091" s="358" t="s">
        <v>387</v>
      </c>
      <c r="E1091" s="358" t="s">
        <v>770</v>
      </c>
      <c r="F1091" s="358" t="s">
        <v>478</v>
      </c>
      <c r="G1091" s="358" t="s">
        <v>789</v>
      </c>
      <c r="H1091" s="358" t="s">
        <v>481</v>
      </c>
      <c r="I1091" s="358" t="s">
        <v>770</v>
      </c>
      <c r="J1091" s="358" t="s">
        <v>478</v>
      </c>
      <c r="K1091" s="358" t="s">
        <v>480</v>
      </c>
      <c r="L1091" s="358" t="s">
        <v>369</v>
      </c>
      <c r="M1091" s="358"/>
      <c r="N1091" s="376">
        <v>0</v>
      </c>
      <c r="O1091" s="376">
        <v>16.06</v>
      </c>
      <c r="P1091" s="376">
        <v>16.06</v>
      </c>
      <c r="Q1091" s="595">
        <f t="shared" si="17"/>
        <v>1</v>
      </c>
    </row>
    <row r="1092" spans="1:17" ht="16.5" hidden="1">
      <c r="A1092" s="62" t="s">
        <v>784</v>
      </c>
      <c r="B1092" s="72" t="s">
        <v>514</v>
      </c>
      <c r="C1092" s="72" t="s">
        <v>388</v>
      </c>
      <c r="D1092" s="72" t="s">
        <v>382</v>
      </c>
      <c r="E1092" s="72"/>
      <c r="F1092" s="72"/>
      <c r="G1092" s="72"/>
      <c r="H1092" s="72"/>
      <c r="I1092" s="72"/>
      <c r="J1092" s="72"/>
      <c r="K1092" s="72"/>
      <c r="L1092" s="72" t="s">
        <v>639</v>
      </c>
      <c r="M1092" s="72" t="s">
        <v>645</v>
      </c>
      <c r="N1092" s="133"/>
      <c r="O1092" s="133"/>
      <c r="P1092" s="133"/>
      <c r="Q1092" s="595" t="e">
        <f t="shared" si="17"/>
        <v>#DIV/0!</v>
      </c>
    </row>
    <row r="1093" spans="1:17" ht="16.5" hidden="1">
      <c r="A1093" s="62" t="s">
        <v>855</v>
      </c>
      <c r="B1093" s="72" t="s">
        <v>514</v>
      </c>
      <c r="C1093" s="72" t="s">
        <v>388</v>
      </c>
      <c r="D1093" s="72" t="s">
        <v>382</v>
      </c>
      <c r="E1093" s="72"/>
      <c r="F1093" s="72"/>
      <c r="G1093" s="72"/>
      <c r="H1093" s="72"/>
      <c r="I1093" s="72"/>
      <c r="J1093" s="72"/>
      <c r="K1093" s="72"/>
      <c r="L1093" s="72" t="s">
        <v>733</v>
      </c>
      <c r="M1093" s="72" t="s">
        <v>680</v>
      </c>
      <c r="N1093" s="133"/>
      <c r="O1093" s="133"/>
      <c r="P1093" s="133"/>
      <c r="Q1093" s="595" t="e">
        <f t="shared" si="17"/>
        <v>#DIV/0!</v>
      </c>
    </row>
    <row r="1094" spans="1:17" s="79" customFormat="1" ht="28.5">
      <c r="A1094" s="378" t="s">
        <v>856</v>
      </c>
      <c r="B1094" s="358" t="s">
        <v>514</v>
      </c>
      <c r="C1094" s="358" t="s">
        <v>388</v>
      </c>
      <c r="D1094" s="358" t="s">
        <v>382</v>
      </c>
      <c r="E1094" s="358" t="s">
        <v>770</v>
      </c>
      <c r="F1094" s="358" t="s">
        <v>478</v>
      </c>
      <c r="G1094" s="358" t="s">
        <v>789</v>
      </c>
      <c r="H1094" s="358" t="s">
        <v>481</v>
      </c>
      <c r="I1094" s="358" t="s">
        <v>770</v>
      </c>
      <c r="J1094" s="358" t="s">
        <v>478</v>
      </c>
      <c r="K1094" s="358" t="s">
        <v>481</v>
      </c>
      <c r="L1094" s="358" t="s">
        <v>369</v>
      </c>
      <c r="M1094" s="358"/>
      <c r="N1094" s="376">
        <v>52.03</v>
      </c>
      <c r="O1094" s="376">
        <v>53.17</v>
      </c>
      <c r="P1094" s="376">
        <v>53.17</v>
      </c>
      <c r="Q1094" s="595">
        <f t="shared" si="17"/>
        <v>1</v>
      </c>
    </row>
    <row r="1095" spans="1:17" ht="16.5" hidden="1">
      <c r="A1095" s="62" t="s">
        <v>787</v>
      </c>
      <c r="B1095" s="72" t="s">
        <v>514</v>
      </c>
      <c r="C1095" s="358" t="s">
        <v>388</v>
      </c>
      <c r="D1095" s="358" t="s">
        <v>382</v>
      </c>
      <c r="E1095" s="358"/>
      <c r="F1095" s="358"/>
      <c r="G1095" s="358"/>
      <c r="H1095" s="358"/>
      <c r="I1095" s="358"/>
      <c r="J1095" s="358"/>
      <c r="K1095" s="358"/>
      <c r="L1095" s="72" t="s">
        <v>639</v>
      </c>
      <c r="M1095" s="72" t="s">
        <v>648</v>
      </c>
      <c r="N1095" s="133">
        <v>52.03</v>
      </c>
      <c r="O1095" s="133">
        <v>52.03</v>
      </c>
      <c r="P1095" s="133"/>
      <c r="Q1095" s="595">
        <f t="shared" si="17"/>
        <v>0</v>
      </c>
    </row>
    <row r="1096" spans="1:17" s="79" customFormat="1" ht="28.5">
      <c r="A1096" s="378" t="s">
        <v>857</v>
      </c>
      <c r="B1096" s="358" t="s">
        <v>514</v>
      </c>
      <c r="C1096" s="358" t="s">
        <v>388</v>
      </c>
      <c r="D1096" s="358" t="s">
        <v>382</v>
      </c>
      <c r="E1096" s="72" t="s">
        <v>770</v>
      </c>
      <c r="F1096" s="72" t="s">
        <v>528</v>
      </c>
      <c r="G1096" s="72" t="s">
        <v>478</v>
      </c>
      <c r="H1096" s="72" t="s">
        <v>770</v>
      </c>
      <c r="I1096" s="72" t="s">
        <v>528</v>
      </c>
      <c r="J1096" s="72" t="s">
        <v>770</v>
      </c>
      <c r="K1096" s="72" t="s">
        <v>479</v>
      </c>
      <c r="L1096" s="358" t="s">
        <v>369</v>
      </c>
      <c r="M1096" s="358"/>
      <c r="N1096" s="376">
        <f>49.61+5</f>
        <v>54.61</v>
      </c>
      <c r="O1096" s="376">
        <v>45.72</v>
      </c>
      <c r="P1096" s="376">
        <v>45.72</v>
      </c>
      <c r="Q1096" s="595">
        <f t="shared" si="17"/>
        <v>1</v>
      </c>
    </row>
    <row r="1097" spans="1:17" ht="16.5" hidden="1">
      <c r="A1097" s="62" t="s">
        <v>787</v>
      </c>
      <c r="B1097" s="72" t="s">
        <v>514</v>
      </c>
      <c r="C1097" s="72" t="s">
        <v>388</v>
      </c>
      <c r="D1097" s="72" t="s">
        <v>382</v>
      </c>
      <c r="E1097" s="72"/>
      <c r="F1097" s="72"/>
      <c r="G1097" s="72"/>
      <c r="H1097" s="72"/>
      <c r="I1097" s="72"/>
      <c r="J1097" s="72"/>
      <c r="K1097" s="72"/>
      <c r="L1097" s="72" t="s">
        <v>639</v>
      </c>
      <c r="M1097" s="72" t="s">
        <v>648</v>
      </c>
      <c r="N1097" s="133">
        <v>49.61</v>
      </c>
      <c r="O1097" s="133">
        <v>49.61</v>
      </c>
      <c r="P1097" s="133"/>
      <c r="Q1097" s="595">
        <f t="shared" si="17"/>
        <v>0</v>
      </c>
    </row>
    <row r="1098" spans="1:17" s="79" customFormat="1" ht="28.5">
      <c r="A1098" s="378" t="s">
        <v>895</v>
      </c>
      <c r="B1098" s="358"/>
      <c r="C1098" s="358" t="s">
        <v>388</v>
      </c>
      <c r="D1098" s="358" t="s">
        <v>382</v>
      </c>
      <c r="E1098" s="72" t="s">
        <v>770</v>
      </c>
      <c r="F1098" s="72" t="s">
        <v>528</v>
      </c>
      <c r="G1098" s="72" t="s">
        <v>478</v>
      </c>
      <c r="H1098" s="72" t="s">
        <v>770</v>
      </c>
      <c r="I1098" s="72" t="s">
        <v>528</v>
      </c>
      <c r="J1098" s="72" t="s">
        <v>770</v>
      </c>
      <c r="K1098" s="72" t="s">
        <v>480</v>
      </c>
      <c r="L1098" s="358" t="s">
        <v>369</v>
      </c>
      <c r="M1098" s="358"/>
      <c r="N1098" s="376">
        <v>0</v>
      </c>
      <c r="O1098" s="376">
        <v>28.57</v>
      </c>
      <c r="P1098" s="376">
        <v>28.57</v>
      </c>
      <c r="Q1098" s="595">
        <f t="shared" si="17"/>
        <v>1</v>
      </c>
    </row>
    <row r="1099" spans="1:17" ht="16.5" hidden="1">
      <c r="A1099" s="62" t="s">
        <v>774</v>
      </c>
      <c r="B1099" s="72" t="s">
        <v>514</v>
      </c>
      <c r="C1099" s="72" t="s">
        <v>388</v>
      </c>
      <c r="D1099" s="72" t="s">
        <v>382</v>
      </c>
      <c r="E1099" s="72"/>
      <c r="F1099" s="72"/>
      <c r="G1099" s="72"/>
      <c r="H1099" s="72"/>
      <c r="I1099" s="72"/>
      <c r="J1099" s="72"/>
      <c r="K1099" s="72"/>
      <c r="L1099" s="72" t="s">
        <v>639</v>
      </c>
      <c r="M1099" s="72" t="s">
        <v>636</v>
      </c>
      <c r="N1099" s="133"/>
      <c r="O1099" s="133"/>
      <c r="P1099" s="133"/>
      <c r="Q1099" s="595" t="e">
        <f t="shared" si="17"/>
        <v>#DIV/0!</v>
      </c>
    </row>
    <row r="1100" spans="1:17" ht="16.5" hidden="1">
      <c r="A1100" s="62" t="s">
        <v>775</v>
      </c>
      <c r="B1100" s="72" t="s">
        <v>514</v>
      </c>
      <c r="C1100" s="72" t="s">
        <v>388</v>
      </c>
      <c r="D1100" s="72" t="s">
        <v>382</v>
      </c>
      <c r="E1100" s="72"/>
      <c r="F1100" s="72"/>
      <c r="G1100" s="72"/>
      <c r="H1100" s="72"/>
      <c r="I1100" s="72"/>
      <c r="J1100" s="72"/>
      <c r="K1100" s="72"/>
      <c r="L1100" s="72" t="s">
        <v>639</v>
      </c>
      <c r="M1100" s="72" t="s">
        <v>637</v>
      </c>
      <c r="N1100" s="133"/>
      <c r="O1100" s="133"/>
      <c r="P1100" s="133"/>
      <c r="Q1100" s="595" t="e">
        <f aca="true" t="shared" si="18" ref="Q1100:Q1163">P1100/O1100</f>
        <v>#DIV/0!</v>
      </c>
    </row>
    <row r="1101" spans="1:17" ht="16.5" hidden="1">
      <c r="A1101" s="62" t="s">
        <v>787</v>
      </c>
      <c r="B1101" s="72" t="s">
        <v>514</v>
      </c>
      <c r="C1101" s="72" t="s">
        <v>388</v>
      </c>
      <c r="D1101" s="72" t="s">
        <v>382</v>
      </c>
      <c r="E1101" s="72"/>
      <c r="F1101" s="72"/>
      <c r="G1101" s="72"/>
      <c r="H1101" s="72"/>
      <c r="I1101" s="72"/>
      <c r="J1101" s="72"/>
      <c r="K1101" s="72"/>
      <c r="L1101" s="72" t="s">
        <v>639</v>
      </c>
      <c r="M1101" s="72" t="s">
        <v>648</v>
      </c>
      <c r="N1101" s="133"/>
      <c r="O1101" s="133"/>
      <c r="P1101" s="133"/>
      <c r="Q1101" s="595" t="e">
        <f t="shared" si="18"/>
        <v>#DIV/0!</v>
      </c>
    </row>
    <row r="1102" spans="1:17" ht="60">
      <c r="A1102" s="62" t="s">
        <v>580</v>
      </c>
      <c r="B1102" s="72" t="s">
        <v>514</v>
      </c>
      <c r="C1102" s="72" t="s">
        <v>391</v>
      </c>
      <c r="D1102" s="72" t="s">
        <v>385</v>
      </c>
      <c r="E1102" s="72" t="s">
        <v>770</v>
      </c>
      <c r="F1102" s="72" t="s">
        <v>546</v>
      </c>
      <c r="G1102" s="72" t="s">
        <v>479</v>
      </c>
      <c r="H1102" s="72" t="s">
        <v>770</v>
      </c>
      <c r="I1102" s="72" t="s">
        <v>546</v>
      </c>
      <c r="J1102" s="72" t="s">
        <v>770</v>
      </c>
      <c r="K1102" s="72" t="s">
        <v>479</v>
      </c>
      <c r="L1102" s="72" t="s">
        <v>778</v>
      </c>
      <c r="M1102" s="72"/>
      <c r="N1102" s="133"/>
      <c r="O1102" s="133">
        <v>1.4</v>
      </c>
      <c r="P1102" s="133">
        <v>1.4</v>
      </c>
      <c r="Q1102" s="595">
        <f t="shared" si="18"/>
        <v>1</v>
      </c>
    </row>
    <row r="1103" spans="1:17" ht="30">
      <c r="A1103" s="62" t="s">
        <v>864</v>
      </c>
      <c r="B1103" s="74" t="s">
        <v>514</v>
      </c>
      <c r="C1103" s="74" t="s">
        <v>388</v>
      </c>
      <c r="D1103" s="74" t="s">
        <v>388</v>
      </c>
      <c r="E1103" s="74" t="s">
        <v>770</v>
      </c>
      <c r="F1103" s="74" t="s">
        <v>528</v>
      </c>
      <c r="G1103" s="74" t="s">
        <v>479</v>
      </c>
      <c r="H1103" s="74" t="s">
        <v>770</v>
      </c>
      <c r="I1103" s="74" t="s">
        <v>528</v>
      </c>
      <c r="J1103" s="74" t="s">
        <v>770</v>
      </c>
      <c r="K1103" s="74" t="s">
        <v>479</v>
      </c>
      <c r="L1103" s="74" t="s">
        <v>369</v>
      </c>
      <c r="M1103" s="74"/>
      <c r="N1103" s="566"/>
      <c r="O1103" s="568">
        <f>3.45+57.24</f>
        <v>60.690000000000005</v>
      </c>
      <c r="P1103" s="568">
        <v>60.69</v>
      </c>
      <c r="Q1103" s="595">
        <f t="shared" si="18"/>
        <v>0.9999999999999999</v>
      </c>
    </row>
    <row r="1104" spans="1:17" ht="45">
      <c r="A1104" s="51" t="s">
        <v>866</v>
      </c>
      <c r="B1104" s="73" t="s">
        <v>514</v>
      </c>
      <c r="C1104" s="73" t="s">
        <v>388</v>
      </c>
      <c r="D1104" s="73" t="s">
        <v>385</v>
      </c>
      <c r="E1104" s="391" t="s">
        <v>770</v>
      </c>
      <c r="F1104" s="391" t="s">
        <v>528</v>
      </c>
      <c r="G1104" s="391" t="s">
        <v>546</v>
      </c>
      <c r="H1104" s="391" t="s">
        <v>770</v>
      </c>
      <c r="I1104" s="391" t="s">
        <v>528</v>
      </c>
      <c r="J1104" s="391" t="s">
        <v>770</v>
      </c>
      <c r="K1104" s="391" t="s">
        <v>546</v>
      </c>
      <c r="L1104" s="73" t="s">
        <v>778</v>
      </c>
      <c r="M1104" s="73"/>
      <c r="N1104" s="371"/>
      <c r="O1104" s="569">
        <v>5</v>
      </c>
      <c r="P1104" s="569">
        <v>5</v>
      </c>
      <c r="Q1104" s="595">
        <f t="shared" si="18"/>
        <v>1</v>
      </c>
    </row>
    <row r="1105" spans="1:17" s="397" customFormat="1" ht="44.25" customHeight="1">
      <c r="A1105" s="401" t="s">
        <v>908</v>
      </c>
      <c r="B1105" s="375" t="s">
        <v>514</v>
      </c>
      <c r="C1105" s="375"/>
      <c r="D1105" s="375"/>
      <c r="E1105" s="375"/>
      <c r="F1105" s="375"/>
      <c r="G1105" s="375"/>
      <c r="H1105" s="375"/>
      <c r="I1105" s="375"/>
      <c r="J1105" s="375"/>
      <c r="K1105" s="375"/>
      <c r="L1105" s="375"/>
      <c r="M1105" s="375"/>
      <c r="N1105" s="402">
        <f>N1109+N1113+N1127+N1133+N1136+N1139+N1141+N1143</f>
        <v>8870.943</v>
      </c>
      <c r="O1105" s="402">
        <f>O1106</f>
        <v>8770.61</v>
      </c>
      <c r="P1105" s="402">
        <f>P1106</f>
        <v>8546.52</v>
      </c>
      <c r="Q1105" s="595">
        <f t="shared" si="18"/>
        <v>0.9744498957313117</v>
      </c>
    </row>
    <row r="1106" spans="1:17" ht="16.5">
      <c r="A1106" s="62" t="s">
        <v>509</v>
      </c>
      <c r="B1106" s="72" t="s">
        <v>514</v>
      </c>
      <c r="C1106" s="72" t="s">
        <v>388</v>
      </c>
      <c r="D1106" s="72"/>
      <c r="E1106" s="72"/>
      <c r="F1106" s="72"/>
      <c r="G1106" s="72"/>
      <c r="H1106" s="72"/>
      <c r="I1106" s="72"/>
      <c r="J1106" s="72"/>
      <c r="K1106" s="72"/>
      <c r="L1106" s="72"/>
      <c r="M1106" s="72"/>
      <c r="N1106" s="133">
        <v>8760.57</v>
      </c>
      <c r="O1106" s="133">
        <f>O1107</f>
        <v>8770.61</v>
      </c>
      <c r="P1106" s="133">
        <f>P1107</f>
        <v>8546.52</v>
      </c>
      <c r="Q1106" s="595">
        <f t="shared" si="18"/>
        <v>0.9744498957313117</v>
      </c>
    </row>
    <row r="1107" spans="1:17" ht="16.5">
      <c r="A1107" s="62" t="s">
        <v>512</v>
      </c>
      <c r="B1107" s="72" t="s">
        <v>514</v>
      </c>
      <c r="C1107" s="72" t="s">
        <v>388</v>
      </c>
      <c r="D1107" s="72" t="s">
        <v>382</v>
      </c>
      <c r="E1107" s="72"/>
      <c r="F1107" s="72"/>
      <c r="G1107" s="72"/>
      <c r="H1107" s="72"/>
      <c r="I1107" s="72"/>
      <c r="J1107" s="72"/>
      <c r="K1107" s="72"/>
      <c r="L1107" s="72"/>
      <c r="M1107" s="72"/>
      <c r="N1107" s="133">
        <v>8760.57</v>
      </c>
      <c r="O1107" s="133">
        <f>O1108+O1127+O1133+O1136+O1139+O1141+O1143+O1147+O1148+O1149+O1150</f>
        <v>8770.61</v>
      </c>
      <c r="P1107" s="133">
        <f>P1108+P1127+P1133+P1136+P1139+P1141+P1143+P1147+P1148+P1149+P1150</f>
        <v>8546.52</v>
      </c>
      <c r="Q1107" s="595">
        <f t="shared" si="18"/>
        <v>0.9744498957313117</v>
      </c>
    </row>
    <row r="1108" spans="1:17" ht="45">
      <c r="A1108" s="62" t="s">
        <v>892</v>
      </c>
      <c r="B1108" s="72" t="s">
        <v>514</v>
      </c>
      <c r="C1108" s="391" t="s">
        <v>388</v>
      </c>
      <c r="D1108" s="391" t="s">
        <v>382</v>
      </c>
      <c r="E1108" s="391" t="s">
        <v>770</v>
      </c>
      <c r="F1108" s="391" t="s">
        <v>528</v>
      </c>
      <c r="G1108" s="391"/>
      <c r="H1108" s="391"/>
      <c r="I1108" s="391"/>
      <c r="J1108" s="391"/>
      <c r="K1108" s="391"/>
      <c r="L1108" s="72" t="s">
        <v>369</v>
      </c>
      <c r="M1108" s="72"/>
      <c r="N1108" s="133">
        <f>N1109+N1113</f>
        <v>895.563</v>
      </c>
      <c r="O1108" s="133">
        <f>O1109+O1113</f>
        <v>930.41</v>
      </c>
      <c r="P1108" s="133">
        <f>P1109+P1113</f>
        <v>930.41</v>
      </c>
      <c r="Q1108" s="595">
        <f t="shared" si="18"/>
        <v>1</v>
      </c>
    </row>
    <row r="1109" spans="1:17" ht="16.5">
      <c r="A1109" s="62" t="s">
        <v>850</v>
      </c>
      <c r="B1109" s="72" t="s">
        <v>514</v>
      </c>
      <c r="C1109" s="391" t="s">
        <v>388</v>
      </c>
      <c r="D1109" s="391" t="s">
        <v>382</v>
      </c>
      <c r="E1109" s="391" t="s">
        <v>770</v>
      </c>
      <c r="F1109" s="391" t="s">
        <v>528</v>
      </c>
      <c r="G1109" s="391" t="s">
        <v>478</v>
      </c>
      <c r="H1109" s="391" t="s">
        <v>770</v>
      </c>
      <c r="I1109" s="391" t="s">
        <v>528</v>
      </c>
      <c r="J1109" s="391" t="s">
        <v>770</v>
      </c>
      <c r="K1109" s="391" t="s">
        <v>528</v>
      </c>
      <c r="L1109" s="72" t="s">
        <v>773</v>
      </c>
      <c r="M1109" s="72"/>
      <c r="N1109" s="133">
        <v>355.543</v>
      </c>
      <c r="O1109" s="133">
        <f>438.69+27.4</f>
        <v>466.09</v>
      </c>
      <c r="P1109" s="133">
        <v>466.09</v>
      </c>
      <c r="Q1109" s="595">
        <f t="shared" si="18"/>
        <v>1</v>
      </c>
    </row>
    <row r="1110" spans="1:17" ht="16.5" hidden="1">
      <c r="A1110" s="62" t="s">
        <v>774</v>
      </c>
      <c r="B1110" s="72" t="s">
        <v>514</v>
      </c>
      <c r="C1110" s="391" t="s">
        <v>388</v>
      </c>
      <c r="D1110" s="391" t="s">
        <v>382</v>
      </c>
      <c r="E1110" s="391"/>
      <c r="F1110" s="391"/>
      <c r="G1110" s="391"/>
      <c r="H1110" s="391"/>
      <c r="I1110" s="391"/>
      <c r="J1110" s="391"/>
      <c r="K1110" s="391"/>
      <c r="L1110" s="72" t="s">
        <v>735</v>
      </c>
      <c r="M1110" s="72" t="s">
        <v>636</v>
      </c>
      <c r="N1110" s="133">
        <v>246.93</v>
      </c>
      <c r="O1110" s="133">
        <v>246.93</v>
      </c>
      <c r="P1110" s="133"/>
      <c r="Q1110" s="595">
        <f t="shared" si="18"/>
        <v>0</v>
      </c>
    </row>
    <row r="1111" spans="1:17" ht="16.5" hidden="1">
      <c r="A1111" s="62" t="s">
        <v>776</v>
      </c>
      <c r="B1111" s="72" t="s">
        <v>514</v>
      </c>
      <c r="C1111" s="391" t="s">
        <v>388</v>
      </c>
      <c r="D1111" s="391" t="s">
        <v>382</v>
      </c>
      <c r="E1111" s="391"/>
      <c r="F1111" s="391"/>
      <c r="G1111" s="391"/>
      <c r="H1111" s="391"/>
      <c r="I1111" s="391"/>
      <c r="J1111" s="391"/>
      <c r="K1111" s="391"/>
      <c r="L1111" s="72" t="s">
        <v>676</v>
      </c>
      <c r="M1111" s="72" t="s">
        <v>660</v>
      </c>
      <c r="N1111" s="133">
        <v>28</v>
      </c>
      <c r="O1111" s="133">
        <v>28</v>
      </c>
      <c r="P1111" s="133"/>
      <c r="Q1111" s="595">
        <f t="shared" si="18"/>
        <v>0</v>
      </c>
    </row>
    <row r="1112" spans="1:17" ht="16.5" hidden="1">
      <c r="A1112" s="62" t="s">
        <v>775</v>
      </c>
      <c r="B1112" s="72" t="s">
        <v>514</v>
      </c>
      <c r="C1112" s="391" t="s">
        <v>388</v>
      </c>
      <c r="D1112" s="391" t="s">
        <v>382</v>
      </c>
      <c r="E1112" s="391"/>
      <c r="F1112" s="391"/>
      <c r="G1112" s="391"/>
      <c r="H1112" s="391"/>
      <c r="I1112" s="391"/>
      <c r="J1112" s="391"/>
      <c r="K1112" s="391"/>
      <c r="L1112" s="72" t="s">
        <v>735</v>
      </c>
      <c r="M1112" s="72" t="s">
        <v>637</v>
      </c>
      <c r="N1112" s="133">
        <v>74.57</v>
      </c>
      <c r="O1112" s="133">
        <v>74.57</v>
      </c>
      <c r="P1112" s="133"/>
      <c r="Q1112" s="595">
        <f t="shared" si="18"/>
        <v>0</v>
      </c>
    </row>
    <row r="1113" spans="1:17" ht="30">
      <c r="A1113" s="62" t="s">
        <v>777</v>
      </c>
      <c r="B1113" s="72" t="s">
        <v>514</v>
      </c>
      <c r="C1113" s="391" t="s">
        <v>388</v>
      </c>
      <c r="D1113" s="391" t="s">
        <v>382</v>
      </c>
      <c r="E1113" s="391" t="s">
        <v>770</v>
      </c>
      <c r="F1113" s="391" t="s">
        <v>528</v>
      </c>
      <c r="G1113" s="391" t="s">
        <v>478</v>
      </c>
      <c r="H1113" s="391" t="s">
        <v>770</v>
      </c>
      <c r="I1113" s="391" t="s">
        <v>528</v>
      </c>
      <c r="J1113" s="391" t="s">
        <v>770</v>
      </c>
      <c r="K1113" s="391" t="s">
        <v>478</v>
      </c>
      <c r="L1113" s="72" t="s">
        <v>778</v>
      </c>
      <c r="M1113" s="72"/>
      <c r="N1113" s="133">
        <v>540.02</v>
      </c>
      <c r="O1113" s="133">
        <v>464.32</v>
      </c>
      <c r="P1113" s="133">
        <v>464.32</v>
      </c>
      <c r="Q1113" s="595">
        <f t="shared" si="18"/>
        <v>1</v>
      </c>
    </row>
    <row r="1114" spans="1:17" ht="16.5" hidden="1">
      <c r="A1114" s="62" t="s">
        <v>779</v>
      </c>
      <c r="B1114" s="72" t="s">
        <v>514</v>
      </c>
      <c r="C1114" s="391" t="s">
        <v>388</v>
      </c>
      <c r="D1114" s="391" t="s">
        <v>382</v>
      </c>
      <c r="E1114" s="391"/>
      <c r="F1114" s="391"/>
      <c r="G1114" s="391"/>
      <c r="H1114" s="391"/>
      <c r="I1114" s="391"/>
      <c r="J1114" s="391"/>
      <c r="K1114" s="391"/>
      <c r="L1114" s="72" t="s">
        <v>639</v>
      </c>
      <c r="M1114" s="72" t="s">
        <v>640</v>
      </c>
      <c r="N1114" s="133">
        <v>15.6</v>
      </c>
      <c r="O1114" s="133">
        <v>15.6</v>
      </c>
      <c r="P1114" s="133"/>
      <c r="Q1114" s="595">
        <f t="shared" si="18"/>
        <v>0</v>
      </c>
    </row>
    <row r="1115" spans="1:17" ht="16.5" hidden="1">
      <c r="A1115" s="62" t="s">
        <v>780</v>
      </c>
      <c r="B1115" s="72" t="s">
        <v>514</v>
      </c>
      <c r="C1115" s="391" t="s">
        <v>388</v>
      </c>
      <c r="D1115" s="391" t="s">
        <v>382</v>
      </c>
      <c r="E1115" s="391"/>
      <c r="F1115" s="391"/>
      <c r="G1115" s="391"/>
      <c r="H1115" s="391"/>
      <c r="I1115" s="391"/>
      <c r="J1115" s="391"/>
      <c r="K1115" s="391"/>
      <c r="L1115" s="72" t="s">
        <v>639</v>
      </c>
      <c r="M1115" s="72" t="s">
        <v>641</v>
      </c>
      <c r="N1115" s="133">
        <v>2.4</v>
      </c>
      <c r="O1115" s="133">
        <v>2.4</v>
      </c>
      <c r="P1115" s="133"/>
      <c r="Q1115" s="595">
        <f t="shared" si="18"/>
        <v>0</v>
      </c>
    </row>
    <row r="1116" spans="1:17" ht="16.5" hidden="1">
      <c r="A1116" s="62" t="s">
        <v>781</v>
      </c>
      <c r="B1116" s="72" t="s">
        <v>514</v>
      </c>
      <c r="C1116" s="391" t="s">
        <v>388</v>
      </c>
      <c r="D1116" s="391" t="s">
        <v>382</v>
      </c>
      <c r="E1116" s="391"/>
      <c r="F1116" s="391"/>
      <c r="G1116" s="391"/>
      <c r="H1116" s="391"/>
      <c r="I1116" s="391"/>
      <c r="J1116" s="391"/>
      <c r="K1116" s="391"/>
      <c r="L1116" s="72" t="s">
        <v>639</v>
      </c>
      <c r="M1116" s="72" t="s">
        <v>642</v>
      </c>
      <c r="N1116" s="133">
        <v>182.62</v>
      </c>
      <c r="O1116" s="133">
        <v>182.62</v>
      </c>
      <c r="P1116" s="133"/>
      <c r="Q1116" s="595">
        <f t="shared" si="18"/>
        <v>0</v>
      </c>
    </row>
    <row r="1117" spans="1:17" ht="16.5" hidden="1">
      <c r="A1117" s="62" t="s">
        <v>782</v>
      </c>
      <c r="B1117" s="72" t="s">
        <v>514</v>
      </c>
      <c r="C1117" s="391" t="s">
        <v>388</v>
      </c>
      <c r="D1117" s="391" t="s">
        <v>382</v>
      </c>
      <c r="E1117" s="391"/>
      <c r="F1117" s="391"/>
      <c r="G1117" s="391"/>
      <c r="H1117" s="391"/>
      <c r="I1117" s="391"/>
      <c r="J1117" s="391"/>
      <c r="K1117" s="391"/>
      <c r="L1117" s="72" t="s">
        <v>639</v>
      </c>
      <c r="M1117" s="72" t="s">
        <v>643</v>
      </c>
      <c r="N1117" s="133"/>
      <c r="O1117" s="133"/>
      <c r="P1117" s="133"/>
      <c r="Q1117" s="595" t="e">
        <f t="shared" si="18"/>
        <v>#DIV/0!</v>
      </c>
    </row>
    <row r="1118" spans="1:17" ht="16.5" hidden="1">
      <c r="A1118" s="62" t="s">
        <v>783</v>
      </c>
      <c r="B1118" s="72" t="s">
        <v>514</v>
      </c>
      <c r="C1118" s="391" t="s">
        <v>388</v>
      </c>
      <c r="D1118" s="391" t="s">
        <v>382</v>
      </c>
      <c r="E1118" s="391"/>
      <c r="F1118" s="391"/>
      <c r="G1118" s="391"/>
      <c r="H1118" s="391"/>
      <c r="I1118" s="391"/>
      <c r="J1118" s="391"/>
      <c r="K1118" s="391"/>
      <c r="L1118" s="72" t="s">
        <v>639</v>
      </c>
      <c r="M1118" s="72" t="s">
        <v>644</v>
      </c>
      <c r="N1118" s="133">
        <v>83.8</v>
      </c>
      <c r="O1118" s="133">
        <v>83.8</v>
      </c>
      <c r="P1118" s="133"/>
      <c r="Q1118" s="595">
        <f t="shared" si="18"/>
        <v>0</v>
      </c>
    </row>
    <row r="1119" spans="1:17" ht="16.5" hidden="1">
      <c r="A1119" s="62" t="s">
        <v>784</v>
      </c>
      <c r="B1119" s="72" t="s">
        <v>514</v>
      </c>
      <c r="C1119" s="391" t="s">
        <v>388</v>
      </c>
      <c r="D1119" s="391" t="s">
        <v>382</v>
      </c>
      <c r="E1119" s="391"/>
      <c r="F1119" s="391"/>
      <c r="G1119" s="391"/>
      <c r="H1119" s="391"/>
      <c r="I1119" s="391"/>
      <c r="J1119" s="391"/>
      <c r="K1119" s="391"/>
      <c r="L1119" s="72" t="s">
        <v>639</v>
      </c>
      <c r="M1119" s="72" t="s">
        <v>645</v>
      </c>
      <c r="N1119" s="133">
        <v>119.2</v>
      </c>
      <c r="O1119" s="133">
        <v>119.2</v>
      </c>
      <c r="P1119" s="133"/>
      <c r="Q1119" s="595">
        <f t="shared" si="18"/>
        <v>0</v>
      </c>
    </row>
    <row r="1120" spans="1:17" ht="16.5" hidden="1">
      <c r="A1120" s="62" t="s">
        <v>785</v>
      </c>
      <c r="B1120" s="72" t="s">
        <v>514</v>
      </c>
      <c r="C1120" s="391" t="s">
        <v>388</v>
      </c>
      <c r="D1120" s="391" t="s">
        <v>382</v>
      </c>
      <c r="E1120" s="391"/>
      <c r="F1120" s="391"/>
      <c r="G1120" s="391"/>
      <c r="H1120" s="391"/>
      <c r="I1120" s="391"/>
      <c r="J1120" s="391"/>
      <c r="K1120" s="391"/>
      <c r="L1120" s="72" t="s">
        <v>639</v>
      </c>
      <c r="M1120" s="72" t="s">
        <v>646</v>
      </c>
      <c r="N1120" s="133">
        <v>5</v>
      </c>
      <c r="O1120" s="133">
        <v>5</v>
      </c>
      <c r="P1120" s="133"/>
      <c r="Q1120" s="595">
        <f t="shared" si="18"/>
        <v>0</v>
      </c>
    </row>
    <row r="1121" spans="1:17" ht="16.5" hidden="1">
      <c r="A1121" s="62" t="s">
        <v>786</v>
      </c>
      <c r="B1121" s="72" t="s">
        <v>514</v>
      </c>
      <c r="C1121" s="391" t="s">
        <v>388</v>
      </c>
      <c r="D1121" s="391" t="s">
        <v>382</v>
      </c>
      <c r="E1121" s="391"/>
      <c r="F1121" s="391"/>
      <c r="G1121" s="391"/>
      <c r="H1121" s="391"/>
      <c r="I1121" s="391"/>
      <c r="J1121" s="391"/>
      <c r="K1121" s="391"/>
      <c r="L1121" s="72" t="s">
        <v>639</v>
      </c>
      <c r="M1121" s="72" t="s">
        <v>647</v>
      </c>
      <c r="N1121" s="133"/>
      <c r="O1121" s="133"/>
      <c r="P1121" s="133"/>
      <c r="Q1121" s="595" t="e">
        <f t="shared" si="18"/>
        <v>#DIV/0!</v>
      </c>
    </row>
    <row r="1122" spans="1:17" ht="16.5" hidden="1">
      <c r="A1122" s="62" t="s">
        <v>787</v>
      </c>
      <c r="B1122" s="72" t="s">
        <v>514</v>
      </c>
      <c r="C1122" s="391" t="s">
        <v>388</v>
      </c>
      <c r="D1122" s="391" t="s">
        <v>382</v>
      </c>
      <c r="E1122" s="391"/>
      <c r="F1122" s="391"/>
      <c r="G1122" s="391"/>
      <c r="H1122" s="391"/>
      <c r="I1122" s="391"/>
      <c r="J1122" s="391"/>
      <c r="K1122" s="391"/>
      <c r="L1122" s="72" t="s">
        <v>639</v>
      </c>
      <c r="M1122" s="72" t="s">
        <v>648</v>
      </c>
      <c r="N1122" s="133">
        <v>131.4</v>
      </c>
      <c r="O1122" s="133">
        <v>131.4</v>
      </c>
      <c r="P1122" s="133"/>
      <c r="Q1122" s="595">
        <f t="shared" si="18"/>
        <v>0</v>
      </c>
    </row>
    <row r="1123" spans="1:17" ht="16.5" hidden="1">
      <c r="A1123" s="62" t="s">
        <v>510</v>
      </c>
      <c r="B1123" s="72" t="s">
        <v>514</v>
      </c>
      <c r="C1123" s="391" t="s">
        <v>483</v>
      </c>
      <c r="D1123" s="391"/>
      <c r="E1123" s="391"/>
      <c r="F1123" s="391"/>
      <c r="G1123" s="391"/>
      <c r="H1123" s="391"/>
      <c r="I1123" s="391"/>
      <c r="J1123" s="391"/>
      <c r="K1123" s="391"/>
      <c r="L1123" s="72"/>
      <c r="M1123" s="72"/>
      <c r="N1123" s="133">
        <v>0</v>
      </c>
      <c r="O1123" s="133">
        <v>0</v>
      </c>
      <c r="P1123" s="133"/>
      <c r="Q1123" s="595" t="e">
        <f t="shared" si="18"/>
        <v>#DIV/0!</v>
      </c>
    </row>
    <row r="1124" spans="1:17" ht="16.5" hidden="1">
      <c r="A1124" s="62" t="s">
        <v>521</v>
      </c>
      <c r="B1124" s="72" t="s">
        <v>514</v>
      </c>
      <c r="C1124" s="391" t="s">
        <v>483</v>
      </c>
      <c r="D1124" s="391" t="s">
        <v>391</v>
      </c>
      <c r="E1124" s="391"/>
      <c r="F1124" s="391"/>
      <c r="G1124" s="391"/>
      <c r="H1124" s="391"/>
      <c r="I1124" s="391"/>
      <c r="J1124" s="391"/>
      <c r="K1124" s="391"/>
      <c r="L1124" s="72"/>
      <c r="M1124" s="72"/>
      <c r="N1124" s="133">
        <v>0</v>
      </c>
      <c r="O1124" s="133">
        <v>0</v>
      </c>
      <c r="P1124" s="133"/>
      <c r="Q1124" s="595" t="e">
        <f t="shared" si="18"/>
        <v>#DIV/0!</v>
      </c>
    </row>
    <row r="1125" spans="1:17" ht="45" hidden="1">
      <c r="A1125" s="62" t="s">
        <v>842</v>
      </c>
      <c r="B1125" s="72" t="s">
        <v>514</v>
      </c>
      <c r="C1125" s="391" t="s">
        <v>483</v>
      </c>
      <c r="D1125" s="391" t="s">
        <v>391</v>
      </c>
      <c r="E1125" s="391" t="s">
        <v>843</v>
      </c>
      <c r="F1125" s="391"/>
      <c r="G1125" s="391"/>
      <c r="H1125" s="391"/>
      <c r="I1125" s="391"/>
      <c r="J1125" s="391"/>
      <c r="K1125" s="391"/>
      <c r="L1125" s="72" t="s">
        <v>844</v>
      </c>
      <c r="M1125" s="72"/>
      <c r="N1125" s="133"/>
      <c r="O1125" s="133"/>
      <c r="P1125" s="133"/>
      <c r="Q1125" s="595" t="e">
        <f t="shared" si="18"/>
        <v>#DIV/0!</v>
      </c>
    </row>
    <row r="1126" spans="1:17" ht="45" hidden="1">
      <c r="A1126" s="62" t="s">
        <v>842</v>
      </c>
      <c r="B1126" s="72" t="s">
        <v>514</v>
      </c>
      <c r="C1126" s="391" t="s">
        <v>483</v>
      </c>
      <c r="D1126" s="391" t="s">
        <v>391</v>
      </c>
      <c r="E1126" s="391" t="s">
        <v>845</v>
      </c>
      <c r="F1126" s="391"/>
      <c r="G1126" s="391"/>
      <c r="H1126" s="391"/>
      <c r="I1126" s="391"/>
      <c r="J1126" s="391"/>
      <c r="K1126" s="391"/>
      <c r="L1126" s="72" t="s">
        <v>844</v>
      </c>
      <c r="M1126" s="72"/>
      <c r="N1126" s="133"/>
      <c r="O1126" s="133"/>
      <c r="P1126" s="133"/>
      <c r="Q1126" s="595" t="e">
        <f t="shared" si="18"/>
        <v>#DIV/0!</v>
      </c>
    </row>
    <row r="1127" spans="1:17" s="79" customFormat="1" ht="28.5">
      <c r="A1127" s="378" t="s">
        <v>893</v>
      </c>
      <c r="B1127" s="358" t="s">
        <v>514</v>
      </c>
      <c r="C1127" s="358" t="s">
        <v>388</v>
      </c>
      <c r="D1127" s="358" t="s">
        <v>382</v>
      </c>
      <c r="E1127" s="358" t="s">
        <v>770</v>
      </c>
      <c r="F1127" s="358" t="s">
        <v>478</v>
      </c>
      <c r="G1127" s="358" t="s">
        <v>789</v>
      </c>
      <c r="H1127" s="358" t="s">
        <v>481</v>
      </c>
      <c r="I1127" s="358" t="s">
        <v>770</v>
      </c>
      <c r="J1127" s="358" t="s">
        <v>528</v>
      </c>
      <c r="K1127" s="358" t="s">
        <v>480</v>
      </c>
      <c r="L1127" s="358" t="s">
        <v>369</v>
      </c>
      <c r="M1127" s="358"/>
      <c r="N1127" s="376">
        <v>6712.28</v>
      </c>
      <c r="O1127" s="376">
        <f>6302.01+40+243.86</f>
        <v>6585.87</v>
      </c>
      <c r="P1127" s="376">
        <f>6129.25+40+192.55</f>
        <v>6361.8</v>
      </c>
      <c r="Q1127" s="595">
        <f t="shared" si="18"/>
        <v>0.9659771601929587</v>
      </c>
    </row>
    <row r="1128" spans="1:17" ht="16.5" hidden="1">
      <c r="A1128" s="62" t="s">
        <v>774</v>
      </c>
      <c r="B1128" s="72" t="s">
        <v>514</v>
      </c>
      <c r="C1128" s="72" t="s">
        <v>388</v>
      </c>
      <c r="D1128" s="72" t="s">
        <v>382</v>
      </c>
      <c r="E1128" s="72"/>
      <c r="F1128" s="72"/>
      <c r="G1128" s="72"/>
      <c r="H1128" s="72"/>
      <c r="I1128" s="72"/>
      <c r="J1128" s="72"/>
      <c r="K1128" s="72"/>
      <c r="L1128" s="72" t="s">
        <v>735</v>
      </c>
      <c r="M1128" s="72" t="s">
        <v>636</v>
      </c>
      <c r="N1128" s="133">
        <v>4708.25</v>
      </c>
      <c r="O1128" s="133">
        <v>4708.25</v>
      </c>
      <c r="P1128" s="133"/>
      <c r="Q1128" s="595">
        <f t="shared" si="18"/>
        <v>0</v>
      </c>
    </row>
    <row r="1129" spans="1:17" ht="16.5" hidden="1">
      <c r="A1129" s="62" t="s">
        <v>775</v>
      </c>
      <c r="B1129" s="72" t="s">
        <v>514</v>
      </c>
      <c r="C1129" s="72" t="s">
        <v>388</v>
      </c>
      <c r="D1129" s="72" t="s">
        <v>382</v>
      </c>
      <c r="E1129" s="72"/>
      <c r="F1129" s="72"/>
      <c r="G1129" s="72"/>
      <c r="H1129" s="72"/>
      <c r="I1129" s="72"/>
      <c r="J1129" s="72"/>
      <c r="K1129" s="72"/>
      <c r="L1129" s="72" t="s">
        <v>735</v>
      </c>
      <c r="M1129" s="72" t="s">
        <v>637</v>
      </c>
      <c r="N1129" s="133">
        <v>1421.89</v>
      </c>
      <c r="O1129" s="133">
        <v>1421.89</v>
      </c>
      <c r="P1129" s="133"/>
      <c r="Q1129" s="595">
        <f t="shared" si="18"/>
        <v>0</v>
      </c>
    </row>
    <row r="1130" spans="1:17" ht="16.5" hidden="1">
      <c r="A1130" s="62" t="s">
        <v>784</v>
      </c>
      <c r="B1130" s="72" t="s">
        <v>514</v>
      </c>
      <c r="C1130" s="72" t="s">
        <v>388</v>
      </c>
      <c r="D1130" s="72" t="s">
        <v>382</v>
      </c>
      <c r="E1130" s="72"/>
      <c r="F1130" s="72"/>
      <c r="G1130" s="72"/>
      <c r="H1130" s="72"/>
      <c r="I1130" s="72"/>
      <c r="J1130" s="72"/>
      <c r="K1130" s="72"/>
      <c r="L1130" s="72" t="s">
        <v>639</v>
      </c>
      <c r="M1130" s="72" t="s">
        <v>645</v>
      </c>
      <c r="N1130" s="133"/>
      <c r="O1130" s="133"/>
      <c r="P1130" s="133"/>
      <c r="Q1130" s="595" t="e">
        <f t="shared" si="18"/>
        <v>#DIV/0!</v>
      </c>
    </row>
    <row r="1131" spans="1:17" ht="16.5" hidden="1">
      <c r="A1131" s="62" t="s">
        <v>786</v>
      </c>
      <c r="B1131" s="72" t="s">
        <v>514</v>
      </c>
      <c r="C1131" s="72" t="s">
        <v>388</v>
      </c>
      <c r="D1131" s="72" t="s">
        <v>382</v>
      </c>
      <c r="E1131" s="72"/>
      <c r="F1131" s="72"/>
      <c r="G1131" s="72"/>
      <c r="H1131" s="72"/>
      <c r="I1131" s="72"/>
      <c r="J1131" s="72"/>
      <c r="K1131" s="72"/>
      <c r="L1131" s="72" t="s">
        <v>639</v>
      </c>
      <c r="M1131" s="72" t="s">
        <v>647</v>
      </c>
      <c r="N1131" s="133">
        <v>7.02</v>
      </c>
      <c r="O1131" s="133">
        <v>7.02</v>
      </c>
      <c r="P1131" s="133"/>
      <c r="Q1131" s="595">
        <f t="shared" si="18"/>
        <v>0</v>
      </c>
    </row>
    <row r="1132" spans="1:17" ht="16.5" hidden="1">
      <c r="A1132" s="62" t="s">
        <v>787</v>
      </c>
      <c r="B1132" s="72" t="s">
        <v>514</v>
      </c>
      <c r="C1132" s="72" t="s">
        <v>388</v>
      </c>
      <c r="D1132" s="72" t="s">
        <v>382</v>
      </c>
      <c r="E1132" s="72"/>
      <c r="F1132" s="72"/>
      <c r="G1132" s="72"/>
      <c r="H1132" s="72"/>
      <c r="I1132" s="72"/>
      <c r="J1132" s="72"/>
      <c r="K1132" s="72"/>
      <c r="L1132" s="72" t="s">
        <v>639</v>
      </c>
      <c r="M1132" s="72" t="s">
        <v>648</v>
      </c>
      <c r="N1132" s="133">
        <v>41.07</v>
      </c>
      <c r="O1132" s="133">
        <v>41.07</v>
      </c>
      <c r="P1132" s="133"/>
      <c r="Q1132" s="595">
        <f t="shared" si="18"/>
        <v>0</v>
      </c>
    </row>
    <row r="1133" spans="1:17" s="79" customFormat="1" ht="16.5">
      <c r="A1133" s="378" t="s">
        <v>854</v>
      </c>
      <c r="B1133" s="358" t="s">
        <v>514</v>
      </c>
      <c r="C1133" s="358" t="s">
        <v>388</v>
      </c>
      <c r="D1133" s="358" t="s">
        <v>382</v>
      </c>
      <c r="E1133" s="358" t="s">
        <v>770</v>
      </c>
      <c r="F1133" s="358" t="s">
        <v>478</v>
      </c>
      <c r="G1133" s="358" t="s">
        <v>789</v>
      </c>
      <c r="H1133" s="358" t="s">
        <v>481</v>
      </c>
      <c r="I1133" s="358" t="s">
        <v>770</v>
      </c>
      <c r="J1133" s="358" t="s">
        <v>478</v>
      </c>
      <c r="K1133" s="358" t="s">
        <v>478</v>
      </c>
      <c r="L1133" s="358" t="s">
        <v>369</v>
      </c>
      <c r="M1133" s="358"/>
      <c r="N1133" s="376">
        <v>147.2</v>
      </c>
      <c r="O1133" s="376">
        <v>161.87</v>
      </c>
      <c r="P1133" s="376">
        <v>161.87</v>
      </c>
      <c r="Q1133" s="595">
        <f t="shared" si="18"/>
        <v>1</v>
      </c>
    </row>
    <row r="1134" spans="1:17" ht="16.5" hidden="1">
      <c r="A1134" s="62" t="s">
        <v>774</v>
      </c>
      <c r="B1134" s="72" t="s">
        <v>514</v>
      </c>
      <c r="C1134" s="72" t="s">
        <v>388</v>
      </c>
      <c r="D1134" s="72" t="s">
        <v>382</v>
      </c>
      <c r="E1134" s="72"/>
      <c r="F1134" s="72"/>
      <c r="G1134" s="72"/>
      <c r="H1134" s="72"/>
      <c r="I1134" s="72"/>
      <c r="J1134" s="72"/>
      <c r="K1134" s="72"/>
      <c r="L1134" s="72" t="s">
        <v>735</v>
      </c>
      <c r="M1134" s="72" t="s">
        <v>636</v>
      </c>
      <c r="N1134" s="133">
        <v>516.24</v>
      </c>
      <c r="O1134" s="133">
        <v>516.24</v>
      </c>
      <c r="P1134" s="133"/>
      <c r="Q1134" s="595">
        <f t="shared" si="18"/>
        <v>0</v>
      </c>
    </row>
    <row r="1135" spans="1:17" ht="16.5" hidden="1">
      <c r="A1135" s="62" t="s">
        <v>775</v>
      </c>
      <c r="B1135" s="72" t="s">
        <v>514</v>
      </c>
      <c r="C1135" s="72" t="s">
        <v>388</v>
      </c>
      <c r="D1135" s="72" t="s">
        <v>382</v>
      </c>
      <c r="E1135" s="72"/>
      <c r="F1135" s="72"/>
      <c r="G1135" s="72"/>
      <c r="H1135" s="72"/>
      <c r="I1135" s="72"/>
      <c r="J1135" s="72"/>
      <c r="K1135" s="72"/>
      <c r="L1135" s="72" t="s">
        <v>735</v>
      </c>
      <c r="M1135" s="72" t="s">
        <v>637</v>
      </c>
      <c r="N1135" s="133">
        <v>155.9</v>
      </c>
      <c r="O1135" s="133">
        <v>155.9</v>
      </c>
      <c r="P1135" s="133"/>
      <c r="Q1135" s="595">
        <f t="shared" si="18"/>
        <v>0</v>
      </c>
    </row>
    <row r="1136" spans="1:17" s="79" customFormat="1" ht="28.5">
      <c r="A1136" s="378" t="s">
        <v>894</v>
      </c>
      <c r="B1136" s="358" t="s">
        <v>514</v>
      </c>
      <c r="C1136" s="358" t="s">
        <v>483</v>
      </c>
      <c r="D1136" s="358" t="s">
        <v>387</v>
      </c>
      <c r="E1136" s="358" t="s">
        <v>770</v>
      </c>
      <c r="F1136" s="358" t="s">
        <v>478</v>
      </c>
      <c r="G1136" s="358" t="s">
        <v>789</v>
      </c>
      <c r="H1136" s="358" t="s">
        <v>481</v>
      </c>
      <c r="I1136" s="358" t="s">
        <v>770</v>
      </c>
      <c r="J1136" s="358" t="s">
        <v>478</v>
      </c>
      <c r="K1136" s="358" t="s">
        <v>480</v>
      </c>
      <c r="L1136" s="358" t="s">
        <v>369</v>
      </c>
      <c r="M1136" s="358"/>
      <c r="N1136" s="376">
        <v>187.97</v>
      </c>
      <c r="O1136" s="376">
        <v>159.36</v>
      </c>
      <c r="P1136" s="376">
        <v>159.36</v>
      </c>
      <c r="Q1136" s="595">
        <f t="shared" si="18"/>
        <v>1</v>
      </c>
    </row>
    <row r="1137" spans="1:17" ht="16.5" hidden="1">
      <c r="A1137" s="62" t="s">
        <v>784</v>
      </c>
      <c r="B1137" s="72" t="s">
        <v>514</v>
      </c>
      <c r="C1137" s="72" t="s">
        <v>388</v>
      </c>
      <c r="D1137" s="72" t="s">
        <v>382</v>
      </c>
      <c r="E1137" s="72"/>
      <c r="F1137" s="72"/>
      <c r="G1137" s="72"/>
      <c r="H1137" s="72"/>
      <c r="I1137" s="72"/>
      <c r="J1137" s="72"/>
      <c r="K1137" s="72"/>
      <c r="L1137" s="72" t="s">
        <v>639</v>
      </c>
      <c r="M1137" s="72" t="s">
        <v>645</v>
      </c>
      <c r="N1137" s="133">
        <v>4.63</v>
      </c>
      <c r="O1137" s="133">
        <v>4.63</v>
      </c>
      <c r="P1137" s="133"/>
      <c r="Q1137" s="595">
        <f t="shared" si="18"/>
        <v>0</v>
      </c>
    </row>
    <row r="1138" spans="1:17" ht="16.5" hidden="1">
      <c r="A1138" s="62" t="s">
        <v>855</v>
      </c>
      <c r="B1138" s="72" t="s">
        <v>514</v>
      </c>
      <c r="C1138" s="72" t="s">
        <v>388</v>
      </c>
      <c r="D1138" s="72" t="s">
        <v>382</v>
      </c>
      <c r="E1138" s="72"/>
      <c r="F1138" s="72"/>
      <c r="G1138" s="72"/>
      <c r="H1138" s="72"/>
      <c r="I1138" s="72"/>
      <c r="J1138" s="72"/>
      <c r="K1138" s="72"/>
      <c r="L1138" s="72" t="s">
        <v>733</v>
      </c>
      <c r="M1138" s="72" t="s">
        <v>680</v>
      </c>
      <c r="N1138" s="133">
        <v>183.34</v>
      </c>
      <c r="O1138" s="133">
        <v>183.34</v>
      </c>
      <c r="P1138" s="133"/>
      <c r="Q1138" s="595">
        <f t="shared" si="18"/>
        <v>0</v>
      </c>
    </row>
    <row r="1139" spans="1:17" s="79" customFormat="1" ht="28.5">
      <c r="A1139" s="378" t="s">
        <v>856</v>
      </c>
      <c r="B1139" s="358" t="s">
        <v>514</v>
      </c>
      <c r="C1139" s="358" t="s">
        <v>388</v>
      </c>
      <c r="D1139" s="358" t="s">
        <v>382</v>
      </c>
      <c r="E1139" s="358" t="s">
        <v>770</v>
      </c>
      <c r="F1139" s="358" t="s">
        <v>478</v>
      </c>
      <c r="G1139" s="358" t="s">
        <v>789</v>
      </c>
      <c r="H1139" s="358" t="s">
        <v>481</v>
      </c>
      <c r="I1139" s="358" t="s">
        <v>770</v>
      </c>
      <c r="J1139" s="358" t="s">
        <v>478</v>
      </c>
      <c r="K1139" s="358" t="s">
        <v>481</v>
      </c>
      <c r="L1139" s="358" t="s">
        <v>369</v>
      </c>
      <c r="M1139" s="358"/>
      <c r="N1139" s="376">
        <v>66.12</v>
      </c>
      <c r="O1139" s="376">
        <v>54.76</v>
      </c>
      <c r="P1139" s="376">
        <v>54.76</v>
      </c>
      <c r="Q1139" s="595">
        <f t="shared" si="18"/>
        <v>1</v>
      </c>
    </row>
    <row r="1140" spans="1:17" ht="16.5" hidden="1">
      <c r="A1140" s="62" t="s">
        <v>787</v>
      </c>
      <c r="B1140" s="72" t="s">
        <v>514</v>
      </c>
      <c r="C1140" s="358" t="s">
        <v>388</v>
      </c>
      <c r="D1140" s="358" t="s">
        <v>382</v>
      </c>
      <c r="E1140" s="358"/>
      <c r="F1140" s="358"/>
      <c r="G1140" s="358"/>
      <c r="H1140" s="358"/>
      <c r="I1140" s="358"/>
      <c r="J1140" s="358"/>
      <c r="K1140" s="358"/>
      <c r="L1140" s="72" t="s">
        <v>639</v>
      </c>
      <c r="M1140" s="72" t="s">
        <v>648</v>
      </c>
      <c r="N1140" s="133">
        <v>66.12</v>
      </c>
      <c r="O1140" s="133">
        <v>66.12</v>
      </c>
      <c r="P1140" s="133"/>
      <c r="Q1140" s="595">
        <f t="shared" si="18"/>
        <v>0</v>
      </c>
    </row>
    <row r="1141" spans="1:17" s="79" customFormat="1" ht="28.5">
      <c r="A1141" s="378" t="s">
        <v>857</v>
      </c>
      <c r="B1141" s="358" t="s">
        <v>514</v>
      </c>
      <c r="C1141" s="358" t="s">
        <v>388</v>
      </c>
      <c r="D1141" s="358" t="s">
        <v>382</v>
      </c>
      <c r="E1141" s="72" t="s">
        <v>770</v>
      </c>
      <c r="F1141" s="72" t="s">
        <v>528</v>
      </c>
      <c r="G1141" s="72" t="s">
        <v>478</v>
      </c>
      <c r="H1141" s="72" t="s">
        <v>770</v>
      </c>
      <c r="I1141" s="72" t="s">
        <v>528</v>
      </c>
      <c r="J1141" s="72" t="s">
        <v>770</v>
      </c>
      <c r="K1141" s="72" t="s">
        <v>479</v>
      </c>
      <c r="L1141" s="358" t="s">
        <v>369</v>
      </c>
      <c r="M1141" s="358"/>
      <c r="N1141" s="376">
        <f>63.05+6</f>
        <v>69.05</v>
      </c>
      <c r="O1141" s="376">
        <v>370.52</v>
      </c>
      <c r="P1141" s="376">
        <v>370.52</v>
      </c>
      <c r="Q1141" s="595">
        <f t="shared" si="18"/>
        <v>1</v>
      </c>
    </row>
    <row r="1142" spans="1:17" ht="16.5" hidden="1">
      <c r="A1142" s="62" t="s">
        <v>787</v>
      </c>
      <c r="B1142" s="72" t="s">
        <v>514</v>
      </c>
      <c r="C1142" s="72" t="s">
        <v>388</v>
      </c>
      <c r="D1142" s="72" t="s">
        <v>382</v>
      </c>
      <c r="E1142" s="72"/>
      <c r="F1142" s="72"/>
      <c r="G1142" s="72"/>
      <c r="H1142" s="72"/>
      <c r="I1142" s="72"/>
      <c r="J1142" s="72"/>
      <c r="K1142" s="72"/>
      <c r="L1142" s="72" t="s">
        <v>639</v>
      </c>
      <c r="M1142" s="72" t="s">
        <v>648</v>
      </c>
      <c r="N1142" s="133">
        <v>63.05</v>
      </c>
      <c r="O1142" s="133">
        <v>63.05</v>
      </c>
      <c r="P1142" s="133"/>
      <c r="Q1142" s="595">
        <f t="shared" si="18"/>
        <v>0</v>
      </c>
    </row>
    <row r="1143" spans="1:17" s="79" customFormat="1" ht="28.5">
      <c r="A1143" s="378" t="s">
        <v>895</v>
      </c>
      <c r="B1143" s="358" t="s">
        <v>514</v>
      </c>
      <c r="C1143" s="358" t="s">
        <v>388</v>
      </c>
      <c r="D1143" s="358" t="s">
        <v>382</v>
      </c>
      <c r="E1143" s="72" t="s">
        <v>770</v>
      </c>
      <c r="F1143" s="72" t="s">
        <v>528</v>
      </c>
      <c r="G1143" s="72" t="s">
        <v>478</v>
      </c>
      <c r="H1143" s="72" t="s">
        <v>770</v>
      </c>
      <c r="I1143" s="72" t="s">
        <v>528</v>
      </c>
      <c r="J1143" s="72" t="s">
        <v>770</v>
      </c>
      <c r="K1143" s="72" t="s">
        <v>480</v>
      </c>
      <c r="L1143" s="358" t="s">
        <v>369</v>
      </c>
      <c r="M1143" s="358"/>
      <c r="N1143" s="376">
        <f>703.54+89.22</f>
        <v>792.76</v>
      </c>
      <c r="O1143" s="376">
        <f>235.62+186.05</f>
        <v>421.67</v>
      </c>
      <c r="P1143" s="376">
        <v>421.67</v>
      </c>
      <c r="Q1143" s="595">
        <f t="shared" si="18"/>
        <v>1</v>
      </c>
    </row>
    <row r="1144" spans="1:17" ht="16.5" hidden="1">
      <c r="A1144" s="62" t="s">
        <v>774</v>
      </c>
      <c r="B1144" s="72" t="s">
        <v>514</v>
      </c>
      <c r="C1144" s="72" t="s">
        <v>388</v>
      </c>
      <c r="D1144" s="72" t="s">
        <v>382</v>
      </c>
      <c r="E1144" s="72"/>
      <c r="F1144" s="72"/>
      <c r="G1144" s="72"/>
      <c r="H1144" s="72"/>
      <c r="I1144" s="72"/>
      <c r="J1144" s="72"/>
      <c r="K1144" s="72"/>
      <c r="L1144" s="72" t="s">
        <v>639</v>
      </c>
      <c r="M1144" s="72" t="s">
        <v>636</v>
      </c>
      <c r="N1144" s="133">
        <v>186.28</v>
      </c>
      <c r="O1144" s="133">
        <v>186.28</v>
      </c>
      <c r="P1144" s="133"/>
      <c r="Q1144" s="595">
        <f t="shared" si="18"/>
        <v>0</v>
      </c>
    </row>
    <row r="1145" spans="1:17" ht="16.5" hidden="1">
      <c r="A1145" s="62" t="s">
        <v>775</v>
      </c>
      <c r="B1145" s="72" t="s">
        <v>514</v>
      </c>
      <c r="C1145" s="72" t="s">
        <v>388</v>
      </c>
      <c r="D1145" s="72" t="s">
        <v>382</v>
      </c>
      <c r="E1145" s="72"/>
      <c r="F1145" s="72"/>
      <c r="G1145" s="72"/>
      <c r="H1145" s="72"/>
      <c r="I1145" s="72"/>
      <c r="J1145" s="72"/>
      <c r="K1145" s="72"/>
      <c r="L1145" s="72" t="s">
        <v>639</v>
      </c>
      <c r="M1145" s="72" t="s">
        <v>637</v>
      </c>
      <c r="N1145" s="133">
        <v>56.26</v>
      </c>
      <c r="O1145" s="133">
        <v>56.26</v>
      </c>
      <c r="P1145" s="133"/>
      <c r="Q1145" s="595">
        <f t="shared" si="18"/>
        <v>0</v>
      </c>
    </row>
    <row r="1146" spans="1:17" ht="16.5" hidden="1">
      <c r="A1146" s="62" t="s">
        <v>787</v>
      </c>
      <c r="B1146" s="72" t="s">
        <v>514</v>
      </c>
      <c r="C1146" s="72" t="s">
        <v>388</v>
      </c>
      <c r="D1146" s="72" t="s">
        <v>382</v>
      </c>
      <c r="E1146" s="72"/>
      <c r="F1146" s="72"/>
      <c r="G1146" s="72"/>
      <c r="H1146" s="72"/>
      <c r="I1146" s="72"/>
      <c r="J1146" s="72"/>
      <c r="K1146" s="72"/>
      <c r="L1146" s="72" t="s">
        <v>639</v>
      </c>
      <c r="M1146" s="72" t="s">
        <v>648</v>
      </c>
      <c r="N1146" s="133">
        <v>461</v>
      </c>
      <c r="O1146" s="133">
        <v>461</v>
      </c>
      <c r="P1146" s="133"/>
      <c r="Q1146" s="595">
        <f t="shared" si="18"/>
        <v>0</v>
      </c>
    </row>
    <row r="1147" spans="1:17" ht="120">
      <c r="A1147" s="62" t="s">
        <v>952</v>
      </c>
      <c r="B1147" s="72" t="s">
        <v>514</v>
      </c>
      <c r="C1147" s="72" t="s">
        <v>388</v>
      </c>
      <c r="D1147" s="72" t="s">
        <v>382</v>
      </c>
      <c r="E1147" s="72" t="s">
        <v>552</v>
      </c>
      <c r="F1147" s="72" t="s">
        <v>552</v>
      </c>
      <c r="G1147" s="72" t="s">
        <v>528</v>
      </c>
      <c r="H1147" s="72" t="s">
        <v>552</v>
      </c>
      <c r="I1147" s="72" t="s">
        <v>770</v>
      </c>
      <c r="J1147" s="72" t="s">
        <v>770</v>
      </c>
      <c r="K1147" s="72" t="s">
        <v>528</v>
      </c>
      <c r="L1147" s="72" t="s">
        <v>778</v>
      </c>
      <c r="M1147" s="72"/>
      <c r="N1147" s="133">
        <v>0</v>
      </c>
      <c r="O1147" s="133">
        <v>30</v>
      </c>
      <c r="P1147" s="133">
        <v>30</v>
      </c>
      <c r="Q1147" s="595">
        <f t="shared" si="18"/>
        <v>1</v>
      </c>
    </row>
    <row r="1148" spans="1:17" ht="16.5">
      <c r="A1148" s="62"/>
      <c r="B1148" s="74" t="s">
        <v>514</v>
      </c>
      <c r="C1148" s="74" t="s">
        <v>388</v>
      </c>
      <c r="D1148" s="74" t="s">
        <v>388</v>
      </c>
      <c r="E1148" s="74" t="s">
        <v>770</v>
      </c>
      <c r="F1148" s="74" t="s">
        <v>528</v>
      </c>
      <c r="G1148" s="74" t="s">
        <v>479</v>
      </c>
      <c r="H1148" s="74" t="s">
        <v>770</v>
      </c>
      <c r="I1148" s="74" t="s">
        <v>528</v>
      </c>
      <c r="J1148" s="74" t="s">
        <v>770</v>
      </c>
      <c r="K1148" s="74" t="s">
        <v>479</v>
      </c>
      <c r="L1148" s="74" t="s">
        <v>773</v>
      </c>
      <c r="M1148" s="74"/>
      <c r="N1148" s="566"/>
      <c r="O1148" s="566">
        <v>3.45</v>
      </c>
      <c r="P1148" s="566">
        <v>3.43</v>
      </c>
      <c r="Q1148" s="595">
        <f t="shared" si="18"/>
        <v>0.9942028985507246</v>
      </c>
    </row>
    <row r="1149" spans="1:17" ht="16.5">
      <c r="A1149" s="62"/>
      <c r="B1149" s="74" t="s">
        <v>514</v>
      </c>
      <c r="C1149" s="74" t="s">
        <v>388</v>
      </c>
      <c r="D1149" s="74" t="s">
        <v>388</v>
      </c>
      <c r="E1149" s="74" t="s">
        <v>770</v>
      </c>
      <c r="F1149" s="74" t="s">
        <v>528</v>
      </c>
      <c r="G1149" s="74" t="s">
        <v>479</v>
      </c>
      <c r="H1149" s="74" t="s">
        <v>770</v>
      </c>
      <c r="I1149" s="74" t="s">
        <v>528</v>
      </c>
      <c r="J1149" s="74" t="s">
        <v>770</v>
      </c>
      <c r="K1149" s="74" t="s">
        <v>479</v>
      </c>
      <c r="L1149" s="74" t="s">
        <v>778</v>
      </c>
      <c r="M1149" s="74"/>
      <c r="N1149" s="566"/>
      <c r="O1149" s="566">
        <v>47.7</v>
      </c>
      <c r="P1149" s="566">
        <v>47.7</v>
      </c>
      <c r="Q1149" s="595">
        <f t="shared" si="18"/>
        <v>1</v>
      </c>
    </row>
    <row r="1150" spans="1:17" ht="16.5">
      <c r="A1150" s="62"/>
      <c r="B1150" s="74" t="s">
        <v>514</v>
      </c>
      <c r="C1150" s="74" t="s">
        <v>388</v>
      </c>
      <c r="D1150" s="74" t="s">
        <v>385</v>
      </c>
      <c r="E1150" s="74" t="s">
        <v>770</v>
      </c>
      <c r="F1150" s="74" t="s">
        <v>528</v>
      </c>
      <c r="G1150" s="74" t="s">
        <v>546</v>
      </c>
      <c r="H1150" s="74" t="s">
        <v>770</v>
      </c>
      <c r="I1150" s="74" t="s">
        <v>528</v>
      </c>
      <c r="J1150" s="74" t="s">
        <v>770</v>
      </c>
      <c r="K1150" s="74" t="s">
        <v>546</v>
      </c>
      <c r="L1150" s="74" t="s">
        <v>369</v>
      </c>
      <c r="M1150" s="74"/>
      <c r="N1150" s="566"/>
      <c r="O1150" s="567">
        <v>5</v>
      </c>
      <c r="P1150" s="567">
        <v>5</v>
      </c>
      <c r="Q1150" s="595">
        <f t="shared" si="18"/>
        <v>1</v>
      </c>
    </row>
    <row r="1151" spans="1:17" s="397" customFormat="1" ht="44.25" customHeight="1">
      <c r="A1151" s="401" t="s">
        <v>909</v>
      </c>
      <c r="B1151" s="375" t="s">
        <v>514</v>
      </c>
      <c r="C1151" s="375"/>
      <c r="D1151" s="375"/>
      <c r="E1151" s="375"/>
      <c r="F1151" s="375"/>
      <c r="G1151" s="375"/>
      <c r="H1151" s="375"/>
      <c r="I1151" s="375"/>
      <c r="J1151" s="375"/>
      <c r="K1151" s="375"/>
      <c r="L1151" s="375"/>
      <c r="M1151" s="375"/>
      <c r="N1151" s="402">
        <f>N1155+N1159+N1173+N1179+N1182+N1185+N1187+N1189</f>
        <v>10967.250000000002</v>
      </c>
      <c r="O1151" s="402">
        <f>O1152</f>
        <v>11791.14</v>
      </c>
      <c r="P1151" s="402">
        <f>P1152</f>
        <v>11618.37</v>
      </c>
      <c r="Q1151" s="595">
        <f t="shared" si="18"/>
        <v>0.9853474727634479</v>
      </c>
    </row>
    <row r="1152" spans="1:17" ht="16.5">
      <c r="A1152" s="62" t="s">
        <v>509</v>
      </c>
      <c r="B1152" s="72" t="s">
        <v>514</v>
      </c>
      <c r="C1152" s="72" t="s">
        <v>388</v>
      </c>
      <c r="D1152" s="72"/>
      <c r="E1152" s="72"/>
      <c r="F1152" s="72"/>
      <c r="G1152" s="72"/>
      <c r="H1152" s="72"/>
      <c r="I1152" s="72"/>
      <c r="J1152" s="72"/>
      <c r="K1152" s="72"/>
      <c r="L1152" s="72"/>
      <c r="M1152" s="72"/>
      <c r="N1152" s="133">
        <v>10821.940000000002</v>
      </c>
      <c r="O1152" s="133">
        <f>O1153</f>
        <v>11791.14</v>
      </c>
      <c r="P1152" s="133">
        <f>P1153</f>
        <v>11618.37</v>
      </c>
      <c r="Q1152" s="595">
        <f t="shared" si="18"/>
        <v>0.9853474727634479</v>
      </c>
    </row>
    <row r="1153" spans="1:17" ht="16.5">
      <c r="A1153" s="62" t="s">
        <v>512</v>
      </c>
      <c r="B1153" s="72" t="s">
        <v>514</v>
      </c>
      <c r="C1153" s="72" t="s">
        <v>388</v>
      </c>
      <c r="D1153" s="72" t="s">
        <v>382</v>
      </c>
      <c r="E1153" s="72"/>
      <c r="F1153" s="72"/>
      <c r="G1153" s="72"/>
      <c r="H1153" s="72"/>
      <c r="I1153" s="72"/>
      <c r="J1153" s="72"/>
      <c r="K1153" s="72"/>
      <c r="L1153" s="72"/>
      <c r="M1153" s="72"/>
      <c r="N1153" s="133">
        <v>10821.940000000002</v>
      </c>
      <c r="O1153" s="133">
        <f>O1154+O1173+O1179+O1182+O1185+O1187+O1189+O1210+O1211+O1212+O1213</f>
        <v>11791.14</v>
      </c>
      <c r="P1153" s="133">
        <f>P1154+P1173+P1179+P1182+P1185+P1187+P1189+P1210+P1211+P1212+P1213</f>
        <v>11618.37</v>
      </c>
      <c r="Q1153" s="595">
        <f t="shared" si="18"/>
        <v>0.9853474727634479</v>
      </c>
    </row>
    <row r="1154" spans="1:17" ht="45">
      <c r="A1154" s="62" t="s">
        <v>892</v>
      </c>
      <c r="B1154" s="72" t="s">
        <v>514</v>
      </c>
      <c r="C1154" s="391" t="s">
        <v>388</v>
      </c>
      <c r="D1154" s="391" t="s">
        <v>382</v>
      </c>
      <c r="E1154" s="391" t="s">
        <v>770</v>
      </c>
      <c r="F1154" s="391" t="s">
        <v>528</v>
      </c>
      <c r="G1154" s="391"/>
      <c r="H1154" s="391"/>
      <c r="I1154" s="391"/>
      <c r="J1154" s="391"/>
      <c r="K1154" s="391"/>
      <c r="L1154" s="72" t="s">
        <v>369</v>
      </c>
      <c r="M1154" s="72"/>
      <c r="N1154" s="133">
        <f>N1155+N1159</f>
        <v>1058.02</v>
      </c>
      <c r="O1154" s="133">
        <f>O1155+O1159</f>
        <v>1148.15</v>
      </c>
      <c r="P1154" s="133">
        <f>P1155+P1159</f>
        <v>1148.15</v>
      </c>
      <c r="Q1154" s="595">
        <f t="shared" si="18"/>
        <v>1</v>
      </c>
    </row>
    <row r="1155" spans="1:17" ht="16.5">
      <c r="A1155" s="62" t="s">
        <v>850</v>
      </c>
      <c r="B1155" s="72" t="s">
        <v>514</v>
      </c>
      <c r="C1155" s="391" t="s">
        <v>388</v>
      </c>
      <c r="D1155" s="391" t="s">
        <v>382</v>
      </c>
      <c r="E1155" s="391" t="s">
        <v>770</v>
      </c>
      <c r="F1155" s="391" t="s">
        <v>528</v>
      </c>
      <c r="G1155" s="391" t="s">
        <v>478</v>
      </c>
      <c r="H1155" s="391" t="s">
        <v>770</v>
      </c>
      <c r="I1155" s="391" t="s">
        <v>528</v>
      </c>
      <c r="J1155" s="391" t="s">
        <v>770</v>
      </c>
      <c r="K1155" s="391" t="s">
        <v>528</v>
      </c>
      <c r="L1155" s="72" t="s">
        <v>773</v>
      </c>
      <c r="M1155" s="72"/>
      <c r="N1155" s="133">
        <v>390.49</v>
      </c>
      <c r="O1155" s="133">
        <f>442.73+21.9</f>
        <v>464.63</v>
      </c>
      <c r="P1155" s="133">
        <v>464.63</v>
      </c>
      <c r="Q1155" s="595">
        <f t="shared" si="18"/>
        <v>1</v>
      </c>
    </row>
    <row r="1156" spans="1:17" ht="16.5" hidden="1">
      <c r="A1156" s="62" t="s">
        <v>774</v>
      </c>
      <c r="B1156" s="72" t="s">
        <v>514</v>
      </c>
      <c r="C1156" s="391" t="s">
        <v>388</v>
      </c>
      <c r="D1156" s="391" t="s">
        <v>382</v>
      </c>
      <c r="E1156" s="391"/>
      <c r="F1156" s="391"/>
      <c r="G1156" s="391"/>
      <c r="H1156" s="391"/>
      <c r="I1156" s="391"/>
      <c r="J1156" s="391"/>
      <c r="K1156" s="391"/>
      <c r="L1156" s="72" t="s">
        <v>735</v>
      </c>
      <c r="M1156" s="72" t="s">
        <v>636</v>
      </c>
      <c r="N1156" s="133">
        <v>327.9</v>
      </c>
      <c r="O1156" s="133">
        <v>327.9</v>
      </c>
      <c r="P1156" s="133"/>
      <c r="Q1156" s="595">
        <f t="shared" si="18"/>
        <v>0</v>
      </c>
    </row>
    <row r="1157" spans="1:17" ht="16.5" hidden="1">
      <c r="A1157" s="62" t="s">
        <v>776</v>
      </c>
      <c r="B1157" s="72" t="s">
        <v>514</v>
      </c>
      <c r="C1157" s="391" t="s">
        <v>388</v>
      </c>
      <c r="D1157" s="391" t="s">
        <v>382</v>
      </c>
      <c r="E1157" s="391"/>
      <c r="F1157" s="391"/>
      <c r="G1157" s="391"/>
      <c r="H1157" s="391"/>
      <c r="I1157" s="391"/>
      <c r="J1157" s="391"/>
      <c r="K1157" s="391"/>
      <c r="L1157" s="72" t="s">
        <v>676</v>
      </c>
      <c r="M1157" s="72" t="s">
        <v>660</v>
      </c>
      <c r="N1157" s="133">
        <v>19.2</v>
      </c>
      <c r="O1157" s="133">
        <v>19.2</v>
      </c>
      <c r="P1157" s="133"/>
      <c r="Q1157" s="595">
        <f t="shared" si="18"/>
        <v>0</v>
      </c>
    </row>
    <row r="1158" spans="1:17" ht="16.5" hidden="1">
      <c r="A1158" s="62" t="s">
        <v>775</v>
      </c>
      <c r="B1158" s="72" t="s">
        <v>514</v>
      </c>
      <c r="C1158" s="391" t="s">
        <v>388</v>
      </c>
      <c r="D1158" s="391" t="s">
        <v>382</v>
      </c>
      <c r="E1158" s="391"/>
      <c r="F1158" s="391"/>
      <c r="G1158" s="391"/>
      <c r="H1158" s="391"/>
      <c r="I1158" s="391"/>
      <c r="J1158" s="391"/>
      <c r="K1158" s="391"/>
      <c r="L1158" s="72" t="s">
        <v>735</v>
      </c>
      <c r="M1158" s="72" t="s">
        <v>637</v>
      </c>
      <c r="N1158" s="133">
        <v>98.12</v>
      </c>
      <c r="O1158" s="133">
        <v>98.12</v>
      </c>
      <c r="P1158" s="133"/>
      <c r="Q1158" s="595">
        <f t="shared" si="18"/>
        <v>0</v>
      </c>
    </row>
    <row r="1159" spans="1:17" ht="30">
      <c r="A1159" s="62" t="s">
        <v>777</v>
      </c>
      <c r="B1159" s="72" t="s">
        <v>514</v>
      </c>
      <c r="C1159" s="391" t="s">
        <v>388</v>
      </c>
      <c r="D1159" s="391" t="s">
        <v>382</v>
      </c>
      <c r="E1159" s="391" t="s">
        <v>770</v>
      </c>
      <c r="F1159" s="391" t="s">
        <v>528</v>
      </c>
      <c r="G1159" s="391" t="s">
        <v>478</v>
      </c>
      <c r="H1159" s="391" t="s">
        <v>770</v>
      </c>
      <c r="I1159" s="391" t="s">
        <v>528</v>
      </c>
      <c r="J1159" s="391" t="s">
        <v>770</v>
      </c>
      <c r="K1159" s="391" t="s">
        <v>478</v>
      </c>
      <c r="L1159" s="72" t="s">
        <v>778</v>
      </c>
      <c r="M1159" s="72"/>
      <c r="N1159" s="133">
        <v>667.5300000000001</v>
      </c>
      <c r="O1159" s="133">
        <v>683.52</v>
      </c>
      <c r="P1159" s="133">
        <v>683.52</v>
      </c>
      <c r="Q1159" s="595">
        <f t="shared" si="18"/>
        <v>1</v>
      </c>
    </row>
    <row r="1160" spans="1:17" ht="16.5" hidden="1">
      <c r="A1160" s="62" t="s">
        <v>779</v>
      </c>
      <c r="B1160" s="72" t="s">
        <v>514</v>
      </c>
      <c r="C1160" s="391" t="s">
        <v>388</v>
      </c>
      <c r="D1160" s="391" t="s">
        <v>382</v>
      </c>
      <c r="E1160" s="391"/>
      <c r="F1160" s="391"/>
      <c r="G1160" s="391"/>
      <c r="H1160" s="391"/>
      <c r="I1160" s="391"/>
      <c r="J1160" s="391"/>
      <c r="K1160" s="391"/>
      <c r="L1160" s="72" t="s">
        <v>639</v>
      </c>
      <c r="M1160" s="72" t="s">
        <v>640</v>
      </c>
      <c r="N1160" s="133">
        <v>10.6</v>
      </c>
      <c r="O1160" s="133">
        <v>10.6</v>
      </c>
      <c r="P1160" s="133"/>
      <c r="Q1160" s="595">
        <f t="shared" si="18"/>
        <v>0</v>
      </c>
    </row>
    <row r="1161" spans="1:17" ht="16.5" hidden="1">
      <c r="A1161" s="62" t="s">
        <v>780</v>
      </c>
      <c r="B1161" s="72" t="s">
        <v>514</v>
      </c>
      <c r="C1161" s="391" t="s">
        <v>388</v>
      </c>
      <c r="D1161" s="391" t="s">
        <v>382</v>
      </c>
      <c r="E1161" s="391"/>
      <c r="F1161" s="391"/>
      <c r="G1161" s="391"/>
      <c r="H1161" s="391"/>
      <c r="I1161" s="391"/>
      <c r="J1161" s="391"/>
      <c r="K1161" s="391"/>
      <c r="L1161" s="72" t="s">
        <v>639</v>
      </c>
      <c r="M1161" s="72" t="s">
        <v>641</v>
      </c>
      <c r="N1161" s="133">
        <v>2</v>
      </c>
      <c r="O1161" s="133">
        <v>2</v>
      </c>
      <c r="P1161" s="133"/>
      <c r="Q1161" s="595">
        <f t="shared" si="18"/>
        <v>0</v>
      </c>
    </row>
    <row r="1162" spans="1:17" ht="16.5" hidden="1">
      <c r="A1162" s="62" t="s">
        <v>781</v>
      </c>
      <c r="B1162" s="72" t="s">
        <v>514</v>
      </c>
      <c r="C1162" s="391" t="s">
        <v>388</v>
      </c>
      <c r="D1162" s="391" t="s">
        <v>382</v>
      </c>
      <c r="E1162" s="391"/>
      <c r="F1162" s="391"/>
      <c r="G1162" s="391"/>
      <c r="H1162" s="391"/>
      <c r="I1162" s="391"/>
      <c r="J1162" s="391"/>
      <c r="K1162" s="391"/>
      <c r="L1162" s="72" t="s">
        <v>639</v>
      </c>
      <c r="M1162" s="72" t="s">
        <v>642</v>
      </c>
      <c r="N1162" s="133">
        <v>326.03</v>
      </c>
      <c r="O1162" s="133">
        <v>326.03</v>
      </c>
      <c r="P1162" s="133"/>
      <c r="Q1162" s="595">
        <f t="shared" si="18"/>
        <v>0</v>
      </c>
    </row>
    <row r="1163" spans="1:17" ht="16.5" hidden="1">
      <c r="A1163" s="62" t="s">
        <v>782</v>
      </c>
      <c r="B1163" s="72" t="s">
        <v>514</v>
      </c>
      <c r="C1163" s="391" t="s">
        <v>388</v>
      </c>
      <c r="D1163" s="391" t="s">
        <v>382</v>
      </c>
      <c r="E1163" s="391"/>
      <c r="F1163" s="391"/>
      <c r="G1163" s="391"/>
      <c r="H1163" s="391"/>
      <c r="I1163" s="391"/>
      <c r="J1163" s="391"/>
      <c r="K1163" s="391"/>
      <c r="L1163" s="72" t="s">
        <v>639</v>
      </c>
      <c r="M1163" s="72" t="s">
        <v>643</v>
      </c>
      <c r="N1163" s="133"/>
      <c r="O1163" s="133"/>
      <c r="P1163" s="133"/>
      <c r="Q1163" s="595" t="e">
        <f t="shared" si="18"/>
        <v>#DIV/0!</v>
      </c>
    </row>
    <row r="1164" spans="1:17" ht="16.5" hidden="1">
      <c r="A1164" s="62" t="s">
        <v>783</v>
      </c>
      <c r="B1164" s="72" t="s">
        <v>514</v>
      </c>
      <c r="C1164" s="391" t="s">
        <v>388</v>
      </c>
      <c r="D1164" s="391" t="s">
        <v>382</v>
      </c>
      <c r="E1164" s="391"/>
      <c r="F1164" s="391"/>
      <c r="G1164" s="391"/>
      <c r="H1164" s="391"/>
      <c r="I1164" s="391"/>
      <c r="J1164" s="391"/>
      <c r="K1164" s="391"/>
      <c r="L1164" s="72" t="s">
        <v>639</v>
      </c>
      <c r="M1164" s="72" t="s">
        <v>644</v>
      </c>
      <c r="N1164" s="133">
        <v>22.3</v>
      </c>
      <c r="O1164" s="133">
        <v>22.3</v>
      </c>
      <c r="P1164" s="133"/>
      <c r="Q1164" s="595">
        <f aca="true" t="shared" si="19" ref="Q1164:Q1213">P1164/O1164</f>
        <v>0</v>
      </c>
    </row>
    <row r="1165" spans="1:17" ht="16.5" hidden="1">
      <c r="A1165" s="62" t="s">
        <v>784</v>
      </c>
      <c r="B1165" s="72" t="s">
        <v>514</v>
      </c>
      <c r="C1165" s="391" t="s">
        <v>388</v>
      </c>
      <c r="D1165" s="391" t="s">
        <v>382</v>
      </c>
      <c r="E1165" s="391"/>
      <c r="F1165" s="391"/>
      <c r="G1165" s="391"/>
      <c r="H1165" s="391"/>
      <c r="I1165" s="391"/>
      <c r="J1165" s="391"/>
      <c r="K1165" s="391"/>
      <c r="L1165" s="72" t="s">
        <v>639</v>
      </c>
      <c r="M1165" s="72" t="s">
        <v>645</v>
      </c>
      <c r="N1165" s="133">
        <v>187.76</v>
      </c>
      <c r="O1165" s="133">
        <v>187.76</v>
      </c>
      <c r="P1165" s="133"/>
      <c r="Q1165" s="595">
        <f t="shared" si="19"/>
        <v>0</v>
      </c>
    </row>
    <row r="1166" spans="1:17" ht="16.5" hidden="1">
      <c r="A1166" s="62" t="s">
        <v>785</v>
      </c>
      <c r="B1166" s="72" t="s">
        <v>514</v>
      </c>
      <c r="C1166" s="391" t="s">
        <v>388</v>
      </c>
      <c r="D1166" s="391" t="s">
        <v>382</v>
      </c>
      <c r="E1166" s="391"/>
      <c r="F1166" s="391"/>
      <c r="G1166" s="391"/>
      <c r="H1166" s="391"/>
      <c r="I1166" s="391"/>
      <c r="J1166" s="391"/>
      <c r="K1166" s="391"/>
      <c r="L1166" s="72" t="s">
        <v>639</v>
      </c>
      <c r="M1166" s="72" t="s">
        <v>646</v>
      </c>
      <c r="N1166" s="133">
        <v>57</v>
      </c>
      <c r="O1166" s="133">
        <v>57</v>
      </c>
      <c r="P1166" s="133"/>
      <c r="Q1166" s="595">
        <f t="shared" si="19"/>
        <v>0</v>
      </c>
    </row>
    <row r="1167" spans="1:17" ht="16.5" hidden="1">
      <c r="A1167" s="62" t="s">
        <v>786</v>
      </c>
      <c r="B1167" s="72" t="s">
        <v>514</v>
      </c>
      <c r="C1167" s="391" t="s">
        <v>388</v>
      </c>
      <c r="D1167" s="391" t="s">
        <v>382</v>
      </c>
      <c r="E1167" s="391"/>
      <c r="F1167" s="391"/>
      <c r="G1167" s="391"/>
      <c r="H1167" s="391"/>
      <c r="I1167" s="391"/>
      <c r="J1167" s="391"/>
      <c r="K1167" s="391"/>
      <c r="L1167" s="72" t="s">
        <v>639</v>
      </c>
      <c r="M1167" s="72" t="s">
        <v>647</v>
      </c>
      <c r="N1167" s="133"/>
      <c r="O1167" s="133"/>
      <c r="P1167" s="133"/>
      <c r="Q1167" s="595" t="e">
        <f t="shared" si="19"/>
        <v>#DIV/0!</v>
      </c>
    </row>
    <row r="1168" spans="1:17" ht="16.5" hidden="1">
      <c r="A1168" s="62" t="s">
        <v>787</v>
      </c>
      <c r="B1168" s="72" t="s">
        <v>514</v>
      </c>
      <c r="C1168" s="391" t="s">
        <v>388</v>
      </c>
      <c r="D1168" s="391" t="s">
        <v>382</v>
      </c>
      <c r="E1168" s="391"/>
      <c r="F1168" s="391"/>
      <c r="G1168" s="391"/>
      <c r="H1168" s="391"/>
      <c r="I1168" s="391"/>
      <c r="J1168" s="391"/>
      <c r="K1168" s="391"/>
      <c r="L1168" s="72" t="s">
        <v>639</v>
      </c>
      <c r="M1168" s="72" t="s">
        <v>648</v>
      </c>
      <c r="N1168" s="133">
        <v>61.84</v>
      </c>
      <c r="O1168" s="133">
        <v>61.84</v>
      </c>
      <c r="P1168" s="133"/>
      <c r="Q1168" s="595">
        <f t="shared" si="19"/>
        <v>0</v>
      </c>
    </row>
    <row r="1169" spans="1:17" ht="16.5" hidden="1">
      <c r="A1169" s="62" t="s">
        <v>510</v>
      </c>
      <c r="B1169" s="72" t="s">
        <v>514</v>
      </c>
      <c r="C1169" s="391" t="s">
        <v>483</v>
      </c>
      <c r="D1169" s="391"/>
      <c r="E1169" s="391"/>
      <c r="F1169" s="391"/>
      <c r="G1169" s="391"/>
      <c r="H1169" s="391"/>
      <c r="I1169" s="391"/>
      <c r="J1169" s="391"/>
      <c r="K1169" s="391"/>
      <c r="L1169" s="72"/>
      <c r="M1169" s="72"/>
      <c r="N1169" s="133">
        <v>0</v>
      </c>
      <c r="O1169" s="133">
        <v>0</v>
      </c>
      <c r="P1169" s="133"/>
      <c r="Q1169" s="595" t="e">
        <f t="shared" si="19"/>
        <v>#DIV/0!</v>
      </c>
    </row>
    <row r="1170" spans="1:17" ht="16.5" hidden="1">
      <c r="A1170" s="62" t="s">
        <v>521</v>
      </c>
      <c r="B1170" s="72" t="s">
        <v>514</v>
      </c>
      <c r="C1170" s="391" t="s">
        <v>483</v>
      </c>
      <c r="D1170" s="391" t="s">
        <v>391</v>
      </c>
      <c r="E1170" s="391"/>
      <c r="F1170" s="391"/>
      <c r="G1170" s="391"/>
      <c r="H1170" s="391"/>
      <c r="I1170" s="391"/>
      <c r="J1170" s="391"/>
      <c r="K1170" s="391"/>
      <c r="L1170" s="72"/>
      <c r="M1170" s="72"/>
      <c r="N1170" s="133">
        <v>0</v>
      </c>
      <c r="O1170" s="133">
        <v>0</v>
      </c>
      <c r="P1170" s="133"/>
      <c r="Q1170" s="595" t="e">
        <f t="shared" si="19"/>
        <v>#DIV/0!</v>
      </c>
    </row>
    <row r="1171" spans="1:17" ht="45" hidden="1">
      <c r="A1171" s="62" t="s">
        <v>842</v>
      </c>
      <c r="B1171" s="72" t="s">
        <v>514</v>
      </c>
      <c r="C1171" s="391" t="s">
        <v>483</v>
      </c>
      <c r="D1171" s="391" t="s">
        <v>391</v>
      </c>
      <c r="E1171" s="391" t="s">
        <v>843</v>
      </c>
      <c r="F1171" s="391"/>
      <c r="G1171" s="391"/>
      <c r="H1171" s="391"/>
      <c r="I1171" s="391"/>
      <c r="J1171" s="391"/>
      <c r="K1171" s="391"/>
      <c r="L1171" s="72" t="s">
        <v>844</v>
      </c>
      <c r="M1171" s="72"/>
      <c r="N1171" s="133"/>
      <c r="O1171" s="133"/>
      <c r="P1171" s="133"/>
      <c r="Q1171" s="595" t="e">
        <f t="shared" si="19"/>
        <v>#DIV/0!</v>
      </c>
    </row>
    <row r="1172" spans="1:17" ht="45" hidden="1">
      <c r="A1172" s="62" t="s">
        <v>842</v>
      </c>
      <c r="B1172" s="72" t="s">
        <v>514</v>
      </c>
      <c r="C1172" s="391" t="s">
        <v>483</v>
      </c>
      <c r="D1172" s="391" t="s">
        <v>391</v>
      </c>
      <c r="E1172" s="391" t="s">
        <v>845</v>
      </c>
      <c r="F1172" s="391"/>
      <c r="G1172" s="391"/>
      <c r="H1172" s="391"/>
      <c r="I1172" s="391"/>
      <c r="J1172" s="391"/>
      <c r="K1172" s="391"/>
      <c r="L1172" s="72" t="s">
        <v>844</v>
      </c>
      <c r="M1172" s="72"/>
      <c r="N1172" s="133"/>
      <c r="O1172" s="133"/>
      <c r="P1172" s="133"/>
      <c r="Q1172" s="595" t="e">
        <f t="shared" si="19"/>
        <v>#DIV/0!</v>
      </c>
    </row>
    <row r="1173" spans="1:17" s="79" customFormat="1" ht="28.5">
      <c r="A1173" s="378" t="s">
        <v>893</v>
      </c>
      <c r="B1173" s="358" t="s">
        <v>514</v>
      </c>
      <c r="C1173" s="358" t="s">
        <v>388</v>
      </c>
      <c r="D1173" s="358" t="s">
        <v>382</v>
      </c>
      <c r="E1173" s="358" t="s">
        <v>770</v>
      </c>
      <c r="F1173" s="358" t="s">
        <v>478</v>
      </c>
      <c r="G1173" s="358" t="s">
        <v>789</v>
      </c>
      <c r="H1173" s="358" t="s">
        <v>481</v>
      </c>
      <c r="I1173" s="358" t="s">
        <v>770</v>
      </c>
      <c r="J1173" s="358" t="s">
        <v>528</v>
      </c>
      <c r="K1173" s="358" t="s">
        <v>480</v>
      </c>
      <c r="L1173" s="358" t="s">
        <v>369</v>
      </c>
      <c r="M1173" s="358"/>
      <c r="N1173" s="376">
        <v>8257.75</v>
      </c>
      <c r="O1173" s="376">
        <f>7806.61+368.14</f>
        <v>8174.75</v>
      </c>
      <c r="P1173" s="376">
        <f>7633.85+368.14</f>
        <v>8001.990000000001</v>
      </c>
      <c r="Q1173" s="595">
        <f t="shared" si="19"/>
        <v>0.9788666320070951</v>
      </c>
    </row>
    <row r="1174" spans="1:17" s="79" customFormat="1" ht="16.5" hidden="1">
      <c r="A1174" s="378" t="s">
        <v>774</v>
      </c>
      <c r="B1174" s="358" t="s">
        <v>514</v>
      </c>
      <c r="C1174" s="72" t="s">
        <v>388</v>
      </c>
      <c r="D1174" s="72" t="s">
        <v>382</v>
      </c>
      <c r="E1174" s="72"/>
      <c r="F1174" s="72"/>
      <c r="G1174" s="72"/>
      <c r="H1174" s="72"/>
      <c r="I1174" s="72"/>
      <c r="J1174" s="72"/>
      <c r="K1174" s="72"/>
      <c r="L1174" s="358" t="s">
        <v>735</v>
      </c>
      <c r="M1174" s="358" t="s">
        <v>636</v>
      </c>
      <c r="N1174" s="376">
        <v>5803.89</v>
      </c>
      <c r="O1174" s="376">
        <v>5803.89</v>
      </c>
      <c r="P1174" s="376"/>
      <c r="Q1174" s="595">
        <f t="shared" si="19"/>
        <v>0</v>
      </c>
    </row>
    <row r="1175" spans="1:17" s="79" customFormat="1" ht="16.5" hidden="1">
      <c r="A1175" s="378" t="s">
        <v>775</v>
      </c>
      <c r="B1175" s="358" t="s">
        <v>514</v>
      </c>
      <c r="C1175" s="72" t="s">
        <v>388</v>
      </c>
      <c r="D1175" s="72" t="s">
        <v>382</v>
      </c>
      <c r="E1175" s="72"/>
      <c r="F1175" s="72"/>
      <c r="G1175" s="72"/>
      <c r="H1175" s="72"/>
      <c r="I1175" s="72"/>
      <c r="J1175" s="72"/>
      <c r="K1175" s="72"/>
      <c r="L1175" s="358" t="s">
        <v>735</v>
      </c>
      <c r="M1175" s="358" t="s">
        <v>637</v>
      </c>
      <c r="N1175" s="376">
        <v>1752.77</v>
      </c>
      <c r="O1175" s="376">
        <v>1752.77</v>
      </c>
      <c r="P1175" s="376"/>
      <c r="Q1175" s="595">
        <f t="shared" si="19"/>
        <v>0</v>
      </c>
    </row>
    <row r="1176" spans="1:17" s="79" customFormat="1" ht="16.5" hidden="1">
      <c r="A1176" s="378" t="s">
        <v>784</v>
      </c>
      <c r="B1176" s="358" t="s">
        <v>514</v>
      </c>
      <c r="C1176" s="72" t="s">
        <v>388</v>
      </c>
      <c r="D1176" s="72" t="s">
        <v>382</v>
      </c>
      <c r="E1176" s="72"/>
      <c r="F1176" s="72"/>
      <c r="G1176" s="72"/>
      <c r="H1176" s="72"/>
      <c r="I1176" s="72"/>
      <c r="J1176" s="72"/>
      <c r="K1176" s="72"/>
      <c r="L1176" s="358" t="s">
        <v>639</v>
      </c>
      <c r="M1176" s="358" t="s">
        <v>645</v>
      </c>
      <c r="N1176" s="376">
        <v>6</v>
      </c>
      <c r="O1176" s="376">
        <v>6</v>
      </c>
      <c r="P1176" s="376"/>
      <c r="Q1176" s="595">
        <f t="shared" si="19"/>
        <v>0</v>
      </c>
    </row>
    <row r="1177" spans="1:17" s="79" customFormat="1" ht="16.5" hidden="1">
      <c r="A1177" s="378" t="s">
        <v>786</v>
      </c>
      <c r="B1177" s="358" t="s">
        <v>514</v>
      </c>
      <c r="C1177" s="72" t="s">
        <v>388</v>
      </c>
      <c r="D1177" s="72" t="s">
        <v>382</v>
      </c>
      <c r="E1177" s="72"/>
      <c r="F1177" s="72"/>
      <c r="G1177" s="72"/>
      <c r="H1177" s="72"/>
      <c r="I1177" s="72"/>
      <c r="J1177" s="72"/>
      <c r="K1177" s="72"/>
      <c r="L1177" s="358" t="s">
        <v>639</v>
      </c>
      <c r="M1177" s="358" t="s">
        <v>647</v>
      </c>
      <c r="N1177" s="376">
        <v>47.68</v>
      </c>
      <c r="O1177" s="376">
        <v>47.68</v>
      </c>
      <c r="P1177" s="376"/>
      <c r="Q1177" s="595">
        <f t="shared" si="19"/>
        <v>0</v>
      </c>
    </row>
    <row r="1178" spans="1:17" s="79" customFormat="1" ht="28.5" hidden="1">
      <c r="A1178" s="378" t="s">
        <v>787</v>
      </c>
      <c r="B1178" s="358" t="s">
        <v>514</v>
      </c>
      <c r="C1178" s="72" t="s">
        <v>388</v>
      </c>
      <c r="D1178" s="72" t="s">
        <v>382</v>
      </c>
      <c r="E1178" s="72"/>
      <c r="F1178" s="72"/>
      <c r="G1178" s="72"/>
      <c r="H1178" s="72"/>
      <c r="I1178" s="72"/>
      <c r="J1178" s="72"/>
      <c r="K1178" s="72"/>
      <c r="L1178" s="358" t="s">
        <v>639</v>
      </c>
      <c r="M1178" s="358" t="s">
        <v>648</v>
      </c>
      <c r="N1178" s="376">
        <v>20</v>
      </c>
      <c r="O1178" s="376">
        <v>20</v>
      </c>
      <c r="P1178" s="376"/>
      <c r="Q1178" s="595">
        <f t="shared" si="19"/>
        <v>0</v>
      </c>
    </row>
    <row r="1179" spans="1:17" s="79" customFormat="1" ht="16.5">
      <c r="A1179" s="378" t="s">
        <v>854</v>
      </c>
      <c r="B1179" s="358" t="s">
        <v>514</v>
      </c>
      <c r="C1179" s="358" t="s">
        <v>388</v>
      </c>
      <c r="D1179" s="358" t="s">
        <v>382</v>
      </c>
      <c r="E1179" s="358" t="s">
        <v>770</v>
      </c>
      <c r="F1179" s="358" t="s">
        <v>478</v>
      </c>
      <c r="G1179" s="358" t="s">
        <v>789</v>
      </c>
      <c r="H1179" s="358" t="s">
        <v>481</v>
      </c>
      <c r="I1179" s="358" t="s">
        <v>770</v>
      </c>
      <c r="J1179" s="358" t="s">
        <v>478</v>
      </c>
      <c r="K1179" s="358" t="s">
        <v>478</v>
      </c>
      <c r="L1179" s="358" t="s">
        <v>369</v>
      </c>
      <c r="M1179" s="358"/>
      <c r="N1179" s="376">
        <v>147.1</v>
      </c>
      <c r="O1179" s="376">
        <v>177.54</v>
      </c>
      <c r="P1179" s="376">
        <v>177.54</v>
      </c>
      <c r="Q1179" s="595">
        <f t="shared" si="19"/>
        <v>1</v>
      </c>
    </row>
    <row r="1180" spans="1:17" ht="16.5" hidden="1">
      <c r="A1180" s="62" t="s">
        <v>774</v>
      </c>
      <c r="B1180" s="72" t="s">
        <v>514</v>
      </c>
      <c r="C1180" s="72" t="s">
        <v>388</v>
      </c>
      <c r="D1180" s="72" t="s">
        <v>382</v>
      </c>
      <c r="E1180" s="72"/>
      <c r="F1180" s="72"/>
      <c r="G1180" s="72"/>
      <c r="H1180" s="72"/>
      <c r="I1180" s="72"/>
      <c r="J1180" s="72"/>
      <c r="K1180" s="72"/>
      <c r="L1180" s="72" t="s">
        <v>735</v>
      </c>
      <c r="M1180" s="72" t="s">
        <v>636</v>
      </c>
      <c r="N1180" s="133">
        <v>515.89</v>
      </c>
      <c r="O1180" s="133">
        <v>515.89</v>
      </c>
      <c r="P1180" s="133"/>
      <c r="Q1180" s="595">
        <f t="shared" si="19"/>
        <v>0</v>
      </c>
    </row>
    <row r="1181" spans="1:17" ht="16.5" hidden="1">
      <c r="A1181" s="62" t="s">
        <v>775</v>
      </c>
      <c r="B1181" s="72" t="s">
        <v>514</v>
      </c>
      <c r="C1181" s="72" t="s">
        <v>388</v>
      </c>
      <c r="D1181" s="72" t="s">
        <v>382</v>
      </c>
      <c r="E1181" s="72"/>
      <c r="F1181" s="72"/>
      <c r="G1181" s="72"/>
      <c r="H1181" s="72"/>
      <c r="I1181" s="72"/>
      <c r="J1181" s="72"/>
      <c r="K1181" s="72"/>
      <c r="L1181" s="72" t="s">
        <v>735</v>
      </c>
      <c r="M1181" s="72" t="s">
        <v>637</v>
      </c>
      <c r="N1181" s="133">
        <v>155.8</v>
      </c>
      <c r="O1181" s="133">
        <v>155.8</v>
      </c>
      <c r="P1181" s="133"/>
      <c r="Q1181" s="595">
        <f t="shared" si="19"/>
        <v>0</v>
      </c>
    </row>
    <row r="1182" spans="1:17" s="79" customFormat="1" ht="28.5">
      <c r="A1182" s="378" t="s">
        <v>894</v>
      </c>
      <c r="B1182" s="358" t="s">
        <v>514</v>
      </c>
      <c r="C1182" s="358" t="s">
        <v>483</v>
      </c>
      <c r="D1182" s="358" t="s">
        <v>387</v>
      </c>
      <c r="E1182" s="358" t="s">
        <v>770</v>
      </c>
      <c r="F1182" s="358" t="s">
        <v>478</v>
      </c>
      <c r="G1182" s="358" t="s">
        <v>789</v>
      </c>
      <c r="H1182" s="358" t="s">
        <v>481</v>
      </c>
      <c r="I1182" s="358" t="s">
        <v>770</v>
      </c>
      <c r="J1182" s="358" t="s">
        <v>478</v>
      </c>
      <c r="K1182" s="358" t="s">
        <v>480</v>
      </c>
      <c r="L1182" s="358" t="s">
        <v>369</v>
      </c>
      <c r="M1182" s="358"/>
      <c r="N1182" s="376">
        <v>267.36999999999995</v>
      </c>
      <c r="O1182" s="376">
        <v>377.31</v>
      </c>
      <c r="P1182" s="376">
        <v>377.31</v>
      </c>
      <c r="Q1182" s="595">
        <f t="shared" si="19"/>
        <v>1</v>
      </c>
    </row>
    <row r="1183" spans="1:17" ht="16.5" hidden="1">
      <c r="A1183" s="62" t="s">
        <v>784</v>
      </c>
      <c r="B1183" s="72" t="s">
        <v>514</v>
      </c>
      <c r="C1183" s="72" t="s">
        <v>388</v>
      </c>
      <c r="D1183" s="72" t="s">
        <v>382</v>
      </c>
      <c r="E1183" s="72"/>
      <c r="F1183" s="72"/>
      <c r="G1183" s="72"/>
      <c r="H1183" s="72"/>
      <c r="I1183" s="72"/>
      <c r="J1183" s="72"/>
      <c r="K1183" s="72"/>
      <c r="L1183" s="72" t="s">
        <v>639</v>
      </c>
      <c r="M1183" s="72" t="s">
        <v>645</v>
      </c>
      <c r="N1183" s="133">
        <v>6.59</v>
      </c>
      <c r="O1183" s="133">
        <v>6.59</v>
      </c>
      <c r="P1183" s="133"/>
      <c r="Q1183" s="595">
        <f t="shared" si="19"/>
        <v>0</v>
      </c>
    </row>
    <row r="1184" spans="1:17" ht="16.5" hidden="1">
      <c r="A1184" s="62" t="s">
        <v>855</v>
      </c>
      <c r="B1184" s="72" t="s">
        <v>514</v>
      </c>
      <c r="C1184" s="72" t="s">
        <v>388</v>
      </c>
      <c r="D1184" s="72" t="s">
        <v>382</v>
      </c>
      <c r="E1184" s="72"/>
      <c r="F1184" s="72"/>
      <c r="G1184" s="72"/>
      <c r="H1184" s="72"/>
      <c r="I1184" s="72"/>
      <c r="J1184" s="72"/>
      <c r="K1184" s="72"/>
      <c r="L1184" s="72" t="s">
        <v>733</v>
      </c>
      <c r="M1184" s="72" t="s">
        <v>680</v>
      </c>
      <c r="N1184" s="133">
        <v>260.78</v>
      </c>
      <c r="O1184" s="133">
        <v>260.78</v>
      </c>
      <c r="P1184" s="133"/>
      <c r="Q1184" s="595">
        <f t="shared" si="19"/>
        <v>0</v>
      </c>
    </row>
    <row r="1185" spans="1:17" s="79" customFormat="1" ht="28.5">
      <c r="A1185" s="378" t="s">
        <v>856</v>
      </c>
      <c r="B1185" s="358" t="s">
        <v>514</v>
      </c>
      <c r="C1185" s="358" t="s">
        <v>388</v>
      </c>
      <c r="D1185" s="358" t="s">
        <v>382</v>
      </c>
      <c r="E1185" s="358" t="s">
        <v>770</v>
      </c>
      <c r="F1185" s="358" t="s">
        <v>478</v>
      </c>
      <c r="G1185" s="358" t="s">
        <v>789</v>
      </c>
      <c r="H1185" s="358" t="s">
        <v>481</v>
      </c>
      <c r="I1185" s="358" t="s">
        <v>770</v>
      </c>
      <c r="J1185" s="358" t="s">
        <v>478</v>
      </c>
      <c r="K1185" s="358" t="s">
        <v>481</v>
      </c>
      <c r="L1185" s="358" t="s">
        <v>369</v>
      </c>
      <c r="M1185" s="358"/>
      <c r="N1185" s="376">
        <v>81.26</v>
      </c>
      <c r="O1185" s="376">
        <v>83.8</v>
      </c>
      <c r="P1185" s="376">
        <v>83.8</v>
      </c>
      <c r="Q1185" s="595">
        <f t="shared" si="19"/>
        <v>1</v>
      </c>
    </row>
    <row r="1186" spans="1:17" ht="16.5" hidden="1">
      <c r="A1186" s="62" t="s">
        <v>787</v>
      </c>
      <c r="B1186" s="72" t="s">
        <v>514</v>
      </c>
      <c r="C1186" s="358" t="s">
        <v>388</v>
      </c>
      <c r="D1186" s="358" t="s">
        <v>382</v>
      </c>
      <c r="E1186" s="358"/>
      <c r="F1186" s="358"/>
      <c r="G1186" s="358"/>
      <c r="H1186" s="358"/>
      <c r="I1186" s="358"/>
      <c r="J1186" s="358"/>
      <c r="K1186" s="358"/>
      <c r="L1186" s="72" t="s">
        <v>639</v>
      </c>
      <c r="M1186" s="72" t="s">
        <v>648</v>
      </c>
      <c r="N1186" s="133">
        <v>81.26</v>
      </c>
      <c r="O1186" s="133">
        <v>81.26</v>
      </c>
      <c r="P1186" s="133"/>
      <c r="Q1186" s="595">
        <f t="shared" si="19"/>
        <v>0</v>
      </c>
    </row>
    <row r="1187" spans="1:17" s="79" customFormat="1" ht="28.5">
      <c r="A1187" s="378" t="s">
        <v>857</v>
      </c>
      <c r="B1187" s="358" t="s">
        <v>514</v>
      </c>
      <c r="C1187" s="358" t="s">
        <v>388</v>
      </c>
      <c r="D1187" s="358" t="s">
        <v>382</v>
      </c>
      <c r="E1187" s="72" t="s">
        <v>770</v>
      </c>
      <c r="F1187" s="72" t="s">
        <v>528</v>
      </c>
      <c r="G1187" s="72" t="s">
        <v>478</v>
      </c>
      <c r="H1187" s="72" t="s">
        <v>770</v>
      </c>
      <c r="I1187" s="72" t="s">
        <v>528</v>
      </c>
      <c r="J1187" s="72" t="s">
        <v>770</v>
      </c>
      <c r="K1187" s="72" t="s">
        <v>479</v>
      </c>
      <c r="L1187" s="358" t="s">
        <v>369</v>
      </c>
      <c r="M1187" s="358"/>
      <c r="N1187" s="376">
        <f>77.49+8</f>
        <v>85.49</v>
      </c>
      <c r="O1187" s="376">
        <v>538.19</v>
      </c>
      <c r="P1187" s="376">
        <v>538.19</v>
      </c>
      <c r="Q1187" s="595">
        <f t="shared" si="19"/>
        <v>1</v>
      </c>
    </row>
    <row r="1188" spans="1:17" ht="16.5" hidden="1">
      <c r="A1188" s="62" t="s">
        <v>787</v>
      </c>
      <c r="B1188" s="72" t="s">
        <v>514</v>
      </c>
      <c r="C1188" s="72" t="s">
        <v>388</v>
      </c>
      <c r="D1188" s="72" t="s">
        <v>382</v>
      </c>
      <c r="E1188" s="72"/>
      <c r="F1188" s="72"/>
      <c r="G1188" s="72"/>
      <c r="H1188" s="72"/>
      <c r="I1188" s="72"/>
      <c r="J1188" s="72"/>
      <c r="K1188" s="72"/>
      <c r="L1188" s="72" t="s">
        <v>639</v>
      </c>
      <c r="M1188" s="72" t="s">
        <v>648</v>
      </c>
      <c r="N1188" s="133">
        <v>77.49</v>
      </c>
      <c r="O1188" s="133">
        <v>77.49</v>
      </c>
      <c r="P1188" s="133"/>
      <c r="Q1188" s="595">
        <f t="shared" si="19"/>
        <v>0</v>
      </c>
    </row>
    <row r="1189" spans="1:17" s="79" customFormat="1" ht="28.5">
      <c r="A1189" s="378" t="s">
        <v>895</v>
      </c>
      <c r="B1189" s="358" t="s">
        <v>514</v>
      </c>
      <c r="C1189" s="358" t="s">
        <v>388</v>
      </c>
      <c r="D1189" s="358" t="s">
        <v>382</v>
      </c>
      <c r="E1189" s="72" t="s">
        <v>770</v>
      </c>
      <c r="F1189" s="72" t="s">
        <v>528</v>
      </c>
      <c r="G1189" s="72" t="s">
        <v>478</v>
      </c>
      <c r="H1189" s="72" t="s">
        <v>770</v>
      </c>
      <c r="I1189" s="72" t="s">
        <v>528</v>
      </c>
      <c r="J1189" s="72" t="s">
        <v>770</v>
      </c>
      <c r="K1189" s="72" t="s">
        <v>480</v>
      </c>
      <c r="L1189" s="358" t="s">
        <v>369</v>
      </c>
      <c r="M1189" s="358"/>
      <c r="N1189" s="376">
        <f>981.04+89.22</f>
        <v>1070.26</v>
      </c>
      <c r="O1189" s="376">
        <f>317.78+827.11</f>
        <v>1144.8899999999999</v>
      </c>
      <c r="P1189" s="376">
        <v>1144.89</v>
      </c>
      <c r="Q1189" s="595">
        <f t="shared" si="19"/>
        <v>1.0000000000000002</v>
      </c>
    </row>
    <row r="1190" spans="1:17" ht="16.5" hidden="1">
      <c r="A1190" s="62" t="s">
        <v>774</v>
      </c>
      <c r="B1190" s="72" t="s">
        <v>514</v>
      </c>
      <c r="C1190" s="72" t="s">
        <v>388</v>
      </c>
      <c r="D1190" s="72" t="s">
        <v>382</v>
      </c>
      <c r="E1190" s="72"/>
      <c r="F1190" s="72"/>
      <c r="G1190" s="72"/>
      <c r="H1190" s="72"/>
      <c r="I1190" s="72"/>
      <c r="J1190" s="72"/>
      <c r="K1190" s="72"/>
      <c r="L1190" s="72" t="s">
        <v>639</v>
      </c>
      <c r="M1190" s="72" t="s">
        <v>636</v>
      </c>
      <c r="N1190" s="133">
        <v>245.15</v>
      </c>
      <c r="O1190" s="133">
        <v>245.15</v>
      </c>
      <c r="P1190" s="133"/>
      <c r="Q1190" s="595">
        <f t="shared" si="19"/>
        <v>0</v>
      </c>
    </row>
    <row r="1191" spans="1:17" ht="16.5" hidden="1">
      <c r="A1191" s="62" t="s">
        <v>775</v>
      </c>
      <c r="B1191" s="72" t="s">
        <v>514</v>
      </c>
      <c r="C1191" s="72" t="s">
        <v>388</v>
      </c>
      <c r="D1191" s="72" t="s">
        <v>382</v>
      </c>
      <c r="E1191" s="72"/>
      <c r="F1191" s="72"/>
      <c r="G1191" s="72"/>
      <c r="H1191" s="72"/>
      <c r="I1191" s="72"/>
      <c r="J1191" s="72"/>
      <c r="K1191" s="72"/>
      <c r="L1191" s="72" t="s">
        <v>639</v>
      </c>
      <c r="M1191" s="72" t="s">
        <v>637</v>
      </c>
      <c r="N1191" s="133">
        <v>74.04</v>
      </c>
      <c r="O1191" s="133">
        <v>74.04</v>
      </c>
      <c r="P1191" s="133"/>
      <c r="Q1191" s="595">
        <f t="shared" si="19"/>
        <v>0</v>
      </c>
    </row>
    <row r="1192" spans="1:17" ht="16.5" hidden="1">
      <c r="A1192" s="62" t="s">
        <v>787</v>
      </c>
      <c r="B1192" s="72" t="s">
        <v>514</v>
      </c>
      <c r="C1192" s="72" t="s">
        <v>388</v>
      </c>
      <c r="D1192" s="72" t="s">
        <v>382</v>
      </c>
      <c r="E1192" s="72"/>
      <c r="F1192" s="72"/>
      <c r="G1192" s="72"/>
      <c r="H1192" s="72"/>
      <c r="I1192" s="72"/>
      <c r="J1192" s="72"/>
      <c r="K1192" s="72"/>
      <c r="L1192" s="72" t="s">
        <v>639</v>
      </c>
      <c r="M1192" s="72" t="s">
        <v>648</v>
      </c>
      <c r="N1192" s="133">
        <v>661.85</v>
      </c>
      <c r="O1192" s="133">
        <v>661.85</v>
      </c>
      <c r="P1192" s="133"/>
      <c r="Q1192" s="595">
        <f t="shared" si="19"/>
        <v>0</v>
      </c>
    </row>
    <row r="1193" spans="1:17" ht="16.5" hidden="1">
      <c r="A1193" s="62" t="s">
        <v>779</v>
      </c>
      <c r="B1193" s="72" t="s">
        <v>514</v>
      </c>
      <c r="C1193" s="72" t="s">
        <v>388</v>
      </c>
      <c r="D1193" s="72" t="s">
        <v>382</v>
      </c>
      <c r="E1193" s="72"/>
      <c r="F1193" s="72"/>
      <c r="G1193" s="72"/>
      <c r="H1193" s="72"/>
      <c r="I1193" s="72"/>
      <c r="J1193" s="72"/>
      <c r="K1193" s="72"/>
      <c r="L1193" s="72" t="s">
        <v>639</v>
      </c>
      <c r="M1193" s="72" t="s">
        <v>640</v>
      </c>
      <c r="N1193" s="133">
        <v>22.3</v>
      </c>
      <c r="O1193" s="133">
        <v>22.3</v>
      </c>
      <c r="P1193" s="133"/>
      <c r="Q1193" s="595">
        <f t="shared" si="19"/>
        <v>0</v>
      </c>
    </row>
    <row r="1194" spans="1:17" ht="16.5" hidden="1">
      <c r="A1194" s="62" t="s">
        <v>780</v>
      </c>
      <c r="B1194" s="72" t="s">
        <v>514</v>
      </c>
      <c r="C1194" s="72" t="s">
        <v>388</v>
      </c>
      <c r="D1194" s="72" t="s">
        <v>382</v>
      </c>
      <c r="E1194" s="72"/>
      <c r="F1194" s="72"/>
      <c r="G1194" s="72"/>
      <c r="H1194" s="72"/>
      <c r="I1194" s="72"/>
      <c r="J1194" s="72"/>
      <c r="K1194" s="72"/>
      <c r="L1194" s="72" t="s">
        <v>639</v>
      </c>
      <c r="M1194" s="72" t="s">
        <v>641</v>
      </c>
      <c r="N1194" s="133"/>
      <c r="O1194" s="133"/>
      <c r="P1194" s="133"/>
      <c r="Q1194" s="595" t="e">
        <f t="shared" si="19"/>
        <v>#DIV/0!</v>
      </c>
    </row>
    <row r="1195" spans="1:17" ht="16.5" hidden="1">
      <c r="A1195" s="62" t="s">
        <v>781</v>
      </c>
      <c r="B1195" s="72" t="s">
        <v>514</v>
      </c>
      <c r="C1195" s="72" t="s">
        <v>388</v>
      </c>
      <c r="D1195" s="72" t="s">
        <v>382</v>
      </c>
      <c r="E1195" s="72"/>
      <c r="F1195" s="72"/>
      <c r="G1195" s="72"/>
      <c r="H1195" s="72"/>
      <c r="I1195" s="72"/>
      <c r="J1195" s="72"/>
      <c r="K1195" s="72"/>
      <c r="L1195" s="72" t="s">
        <v>639</v>
      </c>
      <c r="M1195" s="72" t="s">
        <v>642</v>
      </c>
      <c r="N1195" s="133">
        <v>430.67</v>
      </c>
      <c r="O1195" s="133">
        <v>430.67</v>
      </c>
      <c r="P1195" s="133"/>
      <c r="Q1195" s="595">
        <f t="shared" si="19"/>
        <v>0</v>
      </c>
    </row>
    <row r="1196" spans="1:17" ht="16.5" hidden="1">
      <c r="A1196" s="62" t="s">
        <v>782</v>
      </c>
      <c r="B1196" s="72" t="s">
        <v>514</v>
      </c>
      <c r="C1196" s="72" t="s">
        <v>388</v>
      </c>
      <c r="D1196" s="72" t="s">
        <v>382</v>
      </c>
      <c r="E1196" s="72"/>
      <c r="F1196" s="72"/>
      <c r="G1196" s="72"/>
      <c r="H1196" s="72"/>
      <c r="I1196" s="72"/>
      <c r="J1196" s="72"/>
      <c r="K1196" s="72"/>
      <c r="L1196" s="72" t="s">
        <v>639</v>
      </c>
      <c r="M1196" s="72" t="s">
        <v>643</v>
      </c>
      <c r="N1196" s="133"/>
      <c r="O1196" s="133"/>
      <c r="P1196" s="133"/>
      <c r="Q1196" s="595" t="e">
        <f t="shared" si="19"/>
        <v>#DIV/0!</v>
      </c>
    </row>
    <row r="1197" spans="1:17" ht="16.5" hidden="1">
      <c r="A1197" s="62" t="s">
        <v>783</v>
      </c>
      <c r="B1197" s="72" t="s">
        <v>514</v>
      </c>
      <c r="C1197" s="72" t="s">
        <v>388</v>
      </c>
      <c r="D1197" s="72" t="s">
        <v>382</v>
      </c>
      <c r="E1197" s="72"/>
      <c r="F1197" s="72"/>
      <c r="G1197" s="72"/>
      <c r="H1197" s="72"/>
      <c r="I1197" s="72"/>
      <c r="J1197" s="72"/>
      <c r="K1197" s="72"/>
      <c r="L1197" s="72" t="s">
        <v>639</v>
      </c>
      <c r="M1197" s="72" t="s">
        <v>644</v>
      </c>
      <c r="N1197" s="133">
        <v>16.87</v>
      </c>
      <c r="O1197" s="133">
        <v>16.87</v>
      </c>
      <c r="P1197" s="133"/>
      <c r="Q1197" s="595">
        <f t="shared" si="19"/>
        <v>0</v>
      </c>
    </row>
    <row r="1198" spans="1:17" ht="16.5" hidden="1">
      <c r="A1198" s="62" t="s">
        <v>784</v>
      </c>
      <c r="B1198" s="72" t="s">
        <v>514</v>
      </c>
      <c r="C1198" s="72" t="s">
        <v>388</v>
      </c>
      <c r="D1198" s="72" t="s">
        <v>382</v>
      </c>
      <c r="E1198" s="72"/>
      <c r="F1198" s="72"/>
      <c r="G1198" s="72"/>
      <c r="H1198" s="72"/>
      <c r="I1198" s="72"/>
      <c r="J1198" s="72"/>
      <c r="K1198" s="72"/>
      <c r="L1198" s="72" t="s">
        <v>639</v>
      </c>
      <c r="M1198" s="72" t="s">
        <v>645</v>
      </c>
      <c r="N1198" s="133">
        <v>86.06</v>
      </c>
      <c r="O1198" s="133">
        <v>86.06</v>
      </c>
      <c r="P1198" s="133"/>
      <c r="Q1198" s="595">
        <f t="shared" si="19"/>
        <v>0</v>
      </c>
    </row>
    <row r="1199" spans="1:17" ht="16.5" hidden="1">
      <c r="A1199" s="62" t="s">
        <v>785</v>
      </c>
      <c r="B1199" s="72" t="s">
        <v>514</v>
      </c>
      <c r="C1199" s="72" t="s">
        <v>388</v>
      </c>
      <c r="D1199" s="72" t="s">
        <v>382</v>
      </c>
      <c r="E1199" s="72"/>
      <c r="F1199" s="72"/>
      <c r="G1199" s="72"/>
      <c r="H1199" s="72"/>
      <c r="I1199" s="72"/>
      <c r="J1199" s="72"/>
      <c r="K1199" s="72"/>
      <c r="L1199" s="72" t="s">
        <v>639</v>
      </c>
      <c r="M1199" s="72" t="s">
        <v>646</v>
      </c>
      <c r="N1199" s="133">
        <v>8.5</v>
      </c>
      <c r="O1199" s="133">
        <v>8.5</v>
      </c>
      <c r="P1199" s="133"/>
      <c r="Q1199" s="595">
        <f t="shared" si="19"/>
        <v>0</v>
      </c>
    </row>
    <row r="1200" spans="1:17" ht="16.5" hidden="1">
      <c r="A1200" s="62" t="s">
        <v>786</v>
      </c>
      <c r="B1200" s="72" t="s">
        <v>514</v>
      </c>
      <c r="C1200" s="72" t="s">
        <v>388</v>
      </c>
      <c r="D1200" s="72" t="s">
        <v>382</v>
      </c>
      <c r="E1200" s="72"/>
      <c r="F1200" s="72"/>
      <c r="G1200" s="72"/>
      <c r="H1200" s="72"/>
      <c r="I1200" s="72"/>
      <c r="J1200" s="72"/>
      <c r="K1200" s="72"/>
      <c r="L1200" s="72" t="s">
        <v>639</v>
      </c>
      <c r="M1200" s="72" t="s">
        <v>647</v>
      </c>
      <c r="N1200" s="133">
        <v>12.5</v>
      </c>
      <c r="O1200" s="133">
        <v>12.5</v>
      </c>
      <c r="P1200" s="133"/>
      <c r="Q1200" s="595">
        <f t="shared" si="19"/>
        <v>0</v>
      </c>
    </row>
    <row r="1201" spans="1:17" ht="16.5" hidden="1">
      <c r="A1201" s="62" t="s">
        <v>787</v>
      </c>
      <c r="B1201" s="72" t="s">
        <v>514</v>
      </c>
      <c r="C1201" s="72" t="s">
        <v>388</v>
      </c>
      <c r="D1201" s="72" t="s">
        <v>382</v>
      </c>
      <c r="E1201" s="72"/>
      <c r="F1201" s="72"/>
      <c r="G1201" s="72"/>
      <c r="H1201" s="72"/>
      <c r="I1201" s="72"/>
      <c r="J1201" s="72"/>
      <c r="K1201" s="72"/>
      <c r="L1201" s="72" t="s">
        <v>639</v>
      </c>
      <c r="M1201" s="72" t="s">
        <v>648</v>
      </c>
      <c r="N1201" s="133">
        <v>12</v>
      </c>
      <c r="O1201" s="133">
        <v>12</v>
      </c>
      <c r="P1201" s="133"/>
      <c r="Q1201" s="595">
        <f t="shared" si="19"/>
        <v>0</v>
      </c>
    </row>
    <row r="1202" spans="1:17" ht="16.5" hidden="1">
      <c r="A1202" s="62"/>
      <c r="B1202" s="72"/>
      <c r="C1202" s="72"/>
      <c r="D1202" s="72"/>
      <c r="E1202" s="72"/>
      <c r="F1202" s="72"/>
      <c r="G1202" s="72"/>
      <c r="H1202" s="72"/>
      <c r="I1202" s="72"/>
      <c r="J1202" s="72"/>
      <c r="K1202" s="72"/>
      <c r="L1202" s="72"/>
      <c r="M1202" s="72"/>
      <c r="N1202" s="133"/>
      <c r="O1202" s="133"/>
      <c r="P1202" s="133"/>
      <c r="Q1202" s="595" t="e">
        <f t="shared" si="19"/>
        <v>#DIV/0!</v>
      </c>
    </row>
    <row r="1203" spans="1:17" ht="16.5" hidden="1">
      <c r="A1203" s="62"/>
      <c r="B1203" s="72"/>
      <c r="C1203" s="72"/>
      <c r="D1203" s="72"/>
      <c r="E1203" s="72"/>
      <c r="F1203" s="72"/>
      <c r="G1203" s="72"/>
      <c r="H1203" s="72"/>
      <c r="I1203" s="72"/>
      <c r="J1203" s="72"/>
      <c r="K1203" s="72"/>
      <c r="L1203" s="72"/>
      <c r="M1203" s="72"/>
      <c r="N1203" s="133"/>
      <c r="O1203" s="133"/>
      <c r="P1203" s="133"/>
      <c r="Q1203" s="595" t="e">
        <f t="shared" si="19"/>
        <v>#DIV/0!</v>
      </c>
    </row>
    <row r="1204" spans="1:17" ht="16.5" hidden="1">
      <c r="A1204" s="62"/>
      <c r="B1204" s="72"/>
      <c r="C1204" s="72"/>
      <c r="D1204" s="72"/>
      <c r="E1204" s="72"/>
      <c r="F1204" s="72"/>
      <c r="G1204" s="72"/>
      <c r="H1204" s="72"/>
      <c r="I1204" s="72"/>
      <c r="J1204" s="72"/>
      <c r="K1204" s="72"/>
      <c r="L1204" s="72"/>
      <c r="M1204" s="72"/>
      <c r="N1204" s="133"/>
      <c r="O1204" s="133"/>
      <c r="P1204" s="133"/>
      <c r="Q1204" s="595" t="e">
        <f t="shared" si="19"/>
        <v>#DIV/0!</v>
      </c>
    </row>
    <row r="1205" spans="1:17" ht="16.5" hidden="1">
      <c r="A1205" s="62"/>
      <c r="B1205" s="72"/>
      <c r="C1205" s="72"/>
      <c r="D1205" s="72"/>
      <c r="E1205" s="72"/>
      <c r="F1205" s="72"/>
      <c r="G1205" s="72"/>
      <c r="H1205" s="72"/>
      <c r="I1205" s="72"/>
      <c r="J1205" s="72"/>
      <c r="K1205" s="72"/>
      <c r="L1205" s="72"/>
      <c r="M1205" s="72"/>
      <c r="N1205" s="133"/>
      <c r="O1205" s="133"/>
      <c r="P1205" s="133"/>
      <c r="Q1205" s="595" t="e">
        <f t="shared" si="19"/>
        <v>#DIV/0!</v>
      </c>
    </row>
    <row r="1206" spans="1:17" ht="18.75" hidden="1">
      <c r="A1206" s="382" t="s">
        <v>187</v>
      </c>
      <c r="B1206" s="398"/>
      <c r="C1206" s="398"/>
      <c r="D1206" s="398"/>
      <c r="E1206" s="398"/>
      <c r="F1206" s="398"/>
      <c r="G1206" s="398"/>
      <c r="H1206" s="399"/>
      <c r="I1206" s="399"/>
      <c r="J1206" s="399"/>
      <c r="K1206" s="400"/>
      <c r="L1206" s="400"/>
      <c r="M1206" s="400"/>
      <c r="N1206" s="400">
        <f>N1209</f>
        <v>0</v>
      </c>
      <c r="O1206" s="400">
        <f>O1209</f>
        <v>0</v>
      </c>
      <c r="P1206" s="400"/>
      <c r="Q1206" s="595" t="e">
        <f t="shared" si="19"/>
        <v>#DIV/0!</v>
      </c>
    </row>
    <row r="1207" spans="1:17" ht="16.5" hidden="1">
      <c r="A1207" s="62" t="s">
        <v>187</v>
      </c>
      <c r="B1207" s="72" t="s">
        <v>514</v>
      </c>
      <c r="C1207" s="72" t="s">
        <v>188</v>
      </c>
      <c r="D1207" s="72"/>
      <c r="E1207" s="72"/>
      <c r="F1207" s="72"/>
      <c r="G1207" s="72"/>
      <c r="H1207" s="376"/>
      <c r="I1207" s="376"/>
      <c r="J1207" s="376"/>
      <c r="K1207" s="135"/>
      <c r="L1207" s="135"/>
      <c r="M1207" s="135"/>
      <c r="N1207" s="135"/>
      <c r="O1207" s="135"/>
      <c r="P1207" s="135"/>
      <c r="Q1207" s="595" t="e">
        <f t="shared" si="19"/>
        <v>#DIV/0!</v>
      </c>
    </row>
    <row r="1208" spans="1:17" ht="16.5" hidden="1">
      <c r="A1208" s="62" t="s">
        <v>187</v>
      </c>
      <c r="B1208" s="72" t="s">
        <v>514</v>
      </c>
      <c r="C1208" s="72" t="s">
        <v>188</v>
      </c>
      <c r="D1208" s="72" t="s">
        <v>188</v>
      </c>
      <c r="E1208" s="72"/>
      <c r="F1208" s="72"/>
      <c r="G1208" s="72"/>
      <c r="H1208" s="376"/>
      <c r="I1208" s="376"/>
      <c r="J1208" s="376"/>
      <c r="K1208" s="135"/>
      <c r="L1208" s="135"/>
      <c r="M1208" s="135"/>
      <c r="N1208" s="135"/>
      <c r="O1208" s="135"/>
      <c r="P1208" s="135"/>
      <c r="Q1208" s="595" t="e">
        <f t="shared" si="19"/>
        <v>#DIV/0!</v>
      </c>
    </row>
    <row r="1209" spans="1:17" ht="16.5" hidden="1">
      <c r="A1209" s="62" t="s">
        <v>187</v>
      </c>
      <c r="B1209" s="72" t="s">
        <v>514</v>
      </c>
      <c r="C1209" s="72" t="s">
        <v>188</v>
      </c>
      <c r="D1209" s="72" t="s">
        <v>188</v>
      </c>
      <c r="E1209" s="72"/>
      <c r="F1209" s="72"/>
      <c r="G1209" s="72"/>
      <c r="H1209" s="376"/>
      <c r="I1209" s="369"/>
      <c r="J1209" s="133"/>
      <c r="K1209" s="135"/>
      <c r="L1209" s="135"/>
      <c r="M1209" s="135"/>
      <c r="N1209" s="135"/>
      <c r="O1209" s="135"/>
      <c r="P1209" s="135"/>
      <c r="Q1209" s="595" t="e">
        <f t="shared" si="19"/>
        <v>#DIV/0!</v>
      </c>
    </row>
    <row r="1210" spans="1:17" ht="120">
      <c r="A1210" s="62" t="s">
        <v>952</v>
      </c>
      <c r="B1210" s="72" t="s">
        <v>514</v>
      </c>
      <c r="C1210" s="72" t="s">
        <v>388</v>
      </c>
      <c r="D1210" s="72" t="s">
        <v>382</v>
      </c>
      <c r="E1210" s="72" t="s">
        <v>552</v>
      </c>
      <c r="F1210" s="72" t="s">
        <v>552</v>
      </c>
      <c r="G1210" s="72" t="s">
        <v>528</v>
      </c>
      <c r="H1210" s="474">
        <v>9</v>
      </c>
      <c r="I1210" s="475">
        <v>0</v>
      </c>
      <c r="J1210" s="476">
        <v>0</v>
      </c>
      <c r="K1210" s="135">
        <v>1</v>
      </c>
      <c r="L1210" s="135">
        <v>200</v>
      </c>
      <c r="M1210" s="135"/>
      <c r="N1210" s="135">
        <v>0</v>
      </c>
      <c r="O1210" s="135">
        <v>30</v>
      </c>
      <c r="P1210" s="135">
        <v>30</v>
      </c>
      <c r="Q1210" s="595">
        <f t="shared" si="19"/>
        <v>1</v>
      </c>
    </row>
    <row r="1211" spans="1:17" ht="60">
      <c r="A1211" s="62" t="s">
        <v>580</v>
      </c>
      <c r="B1211" s="74" t="s">
        <v>514</v>
      </c>
      <c r="C1211" s="74" t="s">
        <v>391</v>
      </c>
      <c r="D1211" s="74" t="s">
        <v>385</v>
      </c>
      <c r="E1211" s="74" t="s">
        <v>770</v>
      </c>
      <c r="F1211" s="74" t="s">
        <v>546</v>
      </c>
      <c r="G1211" s="74" t="s">
        <v>479</v>
      </c>
      <c r="H1211" s="74" t="s">
        <v>770</v>
      </c>
      <c r="I1211" s="74" t="s">
        <v>546</v>
      </c>
      <c r="J1211" s="74" t="s">
        <v>770</v>
      </c>
      <c r="K1211" s="74" t="s">
        <v>479</v>
      </c>
      <c r="L1211" s="74" t="s">
        <v>369</v>
      </c>
      <c r="M1211" s="74"/>
      <c r="N1211" s="566"/>
      <c r="O1211" s="567">
        <v>1.6</v>
      </c>
      <c r="P1211" s="567">
        <v>1.6</v>
      </c>
      <c r="Q1211" s="595">
        <f t="shared" si="19"/>
        <v>1</v>
      </c>
    </row>
    <row r="1212" spans="1:17" s="397" customFormat="1" ht="42.75" customHeight="1">
      <c r="A1212" s="62" t="s">
        <v>864</v>
      </c>
      <c r="B1212" s="74" t="s">
        <v>514</v>
      </c>
      <c r="C1212" s="74" t="s">
        <v>388</v>
      </c>
      <c r="D1212" s="74" t="s">
        <v>388</v>
      </c>
      <c r="E1212" s="74" t="s">
        <v>770</v>
      </c>
      <c r="F1212" s="74" t="s">
        <v>528</v>
      </c>
      <c r="G1212" s="74" t="s">
        <v>479</v>
      </c>
      <c r="H1212" s="74" t="s">
        <v>770</v>
      </c>
      <c r="I1212" s="74" t="s">
        <v>528</v>
      </c>
      <c r="J1212" s="74" t="s">
        <v>770</v>
      </c>
      <c r="K1212" s="74" t="s">
        <v>479</v>
      </c>
      <c r="L1212" s="74" t="s">
        <v>369</v>
      </c>
      <c r="M1212" s="74"/>
      <c r="N1212" s="566"/>
      <c r="O1212" s="568">
        <f>100.59+9.32</f>
        <v>109.91</v>
      </c>
      <c r="P1212" s="568">
        <v>109.9</v>
      </c>
      <c r="Q1212" s="595">
        <f t="shared" si="19"/>
        <v>0.9999090164680193</v>
      </c>
    </row>
    <row r="1213" spans="1:17" ht="45">
      <c r="A1213" s="51" t="s">
        <v>866</v>
      </c>
      <c r="B1213" s="73" t="s">
        <v>514</v>
      </c>
      <c r="C1213" s="73" t="s">
        <v>388</v>
      </c>
      <c r="D1213" s="73" t="s">
        <v>385</v>
      </c>
      <c r="E1213" s="391" t="s">
        <v>770</v>
      </c>
      <c r="F1213" s="391" t="s">
        <v>528</v>
      </c>
      <c r="G1213" s="391" t="s">
        <v>546</v>
      </c>
      <c r="H1213" s="391" t="s">
        <v>770</v>
      </c>
      <c r="I1213" s="391" t="s">
        <v>528</v>
      </c>
      <c r="J1213" s="391" t="s">
        <v>770</v>
      </c>
      <c r="K1213" s="391" t="s">
        <v>546</v>
      </c>
      <c r="L1213" s="73" t="s">
        <v>778</v>
      </c>
      <c r="M1213" s="73"/>
      <c r="N1213" s="371"/>
      <c r="O1213" s="569">
        <v>5</v>
      </c>
      <c r="P1213" s="569">
        <v>5</v>
      </c>
      <c r="Q1213" s="595">
        <f t="shared" si="19"/>
        <v>1</v>
      </c>
    </row>
    <row r="1214" spans="1:17" ht="15">
      <c r="A1214" s="401" t="s">
        <v>910</v>
      </c>
      <c r="B1214" s="375"/>
      <c r="C1214" s="375"/>
      <c r="D1214" s="375"/>
      <c r="E1214" s="375"/>
      <c r="F1214" s="375"/>
      <c r="G1214" s="375"/>
      <c r="H1214" s="375"/>
      <c r="I1214" s="375"/>
      <c r="J1214" s="375"/>
      <c r="K1214" s="375"/>
      <c r="L1214" s="375"/>
      <c r="M1214" s="375"/>
      <c r="N1214" s="402">
        <f>N11+N85+N120+N154+N392+N450+N470+N441+N1206+N1151+N1105+N1060+N1018+N973+N929+N884+N840+N797+N751+N706+N662+N617+N572+N526+N482</f>
        <v>767735.8929999999</v>
      </c>
      <c r="O1214" s="402">
        <f>O1151+O1105+O1060+O1018+O973+O929+O884+O840+O797+O751+O706+O662+O617+O572+O526+O482+O470+O450+O441+O392+O154+O120+O85+O11</f>
        <v>1094825.206</v>
      </c>
      <c r="P1214" s="402">
        <f>P1151+P1105+P1060+P1018+P973+P929+P884+P840+P797+P751+P706+P662+P617+P572+P526+P482+P470+P450+P441+P392+P154+P120+P85+P11</f>
        <v>925903.2010000001</v>
      </c>
      <c r="Q1214" s="596">
        <f>P1214/O1214</f>
        <v>0.8457086993665728</v>
      </c>
    </row>
    <row r="1215" spans="15:17" ht="15">
      <c r="O1215" s="318">
        <v>1094825.21</v>
      </c>
      <c r="P1215" s="318">
        <v>925903.2</v>
      </c>
      <c r="Q1215" s="411"/>
    </row>
    <row r="1216" spans="1:16" ht="15">
      <c r="A1216" s="47" t="s">
        <v>396</v>
      </c>
      <c r="B1216" s="120">
        <f>'[2]прил_1  '!T148</f>
        <v>759322.1499999999</v>
      </c>
      <c r="C1216" s="120"/>
      <c r="D1216" s="120"/>
      <c r="O1216" s="318">
        <f>O1214-O1215</f>
        <v>-0.003999999957159162</v>
      </c>
      <c r="P1216" s="318">
        <f>P1214-P1215</f>
        <v>0.0010000001639127731</v>
      </c>
    </row>
    <row r="1217" spans="1:14" ht="15">
      <c r="A1217" s="47" t="s">
        <v>911</v>
      </c>
      <c r="B1217" s="71" t="s">
        <v>912</v>
      </c>
      <c r="N1217" s="410"/>
    </row>
    <row r="1218" spans="1:17" ht="15">
      <c r="A1218" s="47" t="s">
        <v>460</v>
      </c>
      <c r="B1218" s="120">
        <f>'[2]прил_1  '!T86</f>
        <v>509301.57999999996</v>
      </c>
      <c r="C1218" s="120"/>
      <c r="D1218" s="120"/>
      <c r="N1218" s="411"/>
      <c r="O1218" s="410"/>
      <c r="P1218" s="410"/>
      <c r="Q1218" s="590"/>
    </row>
    <row r="1219" spans="1:4" ht="15">
      <c r="A1219" s="47" t="s">
        <v>913</v>
      </c>
      <c r="B1219" s="120">
        <f>(B1216-B1217-B1218)*5%</f>
        <v>5205.189499999997</v>
      </c>
      <c r="C1219" s="120"/>
      <c r="D1219" s="120"/>
    </row>
    <row r="1220" spans="1:17" ht="15">
      <c r="A1220" s="47" t="s">
        <v>914</v>
      </c>
      <c r="B1220" s="120"/>
      <c r="C1220" s="120"/>
      <c r="D1220" s="120"/>
      <c r="Q1220" s="591"/>
    </row>
    <row r="1221" spans="1:17" ht="15">
      <c r="A1221" s="47" t="s">
        <v>915</v>
      </c>
      <c r="B1221" s="120">
        <v>10119.94</v>
      </c>
      <c r="C1221" s="120"/>
      <c r="D1221" s="120"/>
      <c r="L1221" s="800"/>
      <c r="M1221" s="800"/>
      <c r="N1221" s="120"/>
      <c r="O1221" s="120"/>
      <c r="P1221" s="120"/>
      <c r="Q1221" s="594"/>
    </row>
    <row r="1222" spans="1:13" ht="15">
      <c r="A1222" s="47" t="s">
        <v>916</v>
      </c>
      <c r="B1222" s="120">
        <f>B1216-B1221+667+B1220</f>
        <v>749869.21</v>
      </c>
      <c r="C1222" s="120"/>
      <c r="D1222" s="120"/>
      <c r="L1222" s="800"/>
      <c r="M1222" s="800"/>
    </row>
    <row r="1223" spans="14:16" ht="15">
      <c r="N1223" s="71"/>
      <c r="O1223" s="71"/>
      <c r="P1223" s="71"/>
    </row>
    <row r="1224" spans="2:16" ht="15">
      <c r="B1224" s="120"/>
      <c r="N1224" s="319"/>
      <c r="O1224" s="319"/>
      <c r="P1224" s="319"/>
    </row>
    <row r="1225" spans="2:4" ht="15">
      <c r="B1225" s="403"/>
      <c r="C1225" s="403"/>
      <c r="D1225" s="403"/>
    </row>
    <row r="1228" spans="3:4" ht="15">
      <c r="C1228" s="403"/>
      <c r="D1228" s="403"/>
    </row>
    <row r="1251" spans="2:77" s="47" customFormat="1" ht="6" customHeight="1">
      <c r="B1251" s="71"/>
      <c r="C1251" s="71"/>
      <c r="D1251" s="71"/>
      <c r="E1251" s="71"/>
      <c r="F1251" s="71"/>
      <c r="G1251" s="71"/>
      <c r="H1251" s="71"/>
      <c r="I1251" s="71"/>
      <c r="J1251" s="71"/>
      <c r="K1251" s="71"/>
      <c r="L1251" s="71"/>
      <c r="M1251" s="71"/>
      <c r="N1251" s="318"/>
      <c r="O1251" s="318"/>
      <c r="P1251" s="318"/>
      <c r="Q1251" s="410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4"/>
      <c r="BQ1251" s="54"/>
      <c r="BR1251" s="54"/>
      <c r="BS1251" s="54"/>
      <c r="BT1251" s="54"/>
      <c r="BU1251" s="54"/>
      <c r="BV1251" s="54"/>
      <c r="BW1251" s="54"/>
      <c r="BX1251" s="54"/>
      <c r="BY1251" s="54"/>
    </row>
    <row r="1272" spans="2:77" s="47" customFormat="1" ht="9.75" customHeight="1">
      <c r="B1272" s="71"/>
      <c r="C1272" s="71"/>
      <c r="D1272" s="71"/>
      <c r="E1272" s="71"/>
      <c r="F1272" s="71"/>
      <c r="G1272" s="71"/>
      <c r="H1272" s="71"/>
      <c r="I1272" s="71"/>
      <c r="J1272" s="71"/>
      <c r="K1272" s="71"/>
      <c r="L1272" s="71"/>
      <c r="M1272" s="71"/>
      <c r="N1272" s="318"/>
      <c r="O1272" s="318"/>
      <c r="P1272" s="318"/>
      <c r="Q1272" s="410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4"/>
      <c r="BQ1272" s="54"/>
      <c r="BR1272" s="54"/>
      <c r="BS1272" s="54"/>
      <c r="BT1272" s="54"/>
      <c r="BU1272" s="54"/>
      <c r="BV1272" s="54"/>
      <c r="BW1272" s="54"/>
      <c r="BX1272" s="54"/>
      <c r="BY1272" s="54"/>
    </row>
  </sheetData>
  <sheetProtection/>
  <mergeCells count="10">
    <mergeCell ref="O8:O9"/>
    <mergeCell ref="Q8:Q9"/>
    <mergeCell ref="L1221:M1221"/>
    <mergeCell ref="L1222:M1222"/>
    <mergeCell ref="A8:A9"/>
    <mergeCell ref="B8:L8"/>
    <mergeCell ref="N8:N9"/>
    <mergeCell ref="E9:F9"/>
    <mergeCell ref="H9:K9"/>
    <mergeCell ref="P8:P9"/>
  </mergeCells>
  <printOptions/>
  <pageMargins left="0.7" right="0.7" top="0.37" bottom="0.29" header="0.3" footer="0.3"/>
  <pageSetup horizontalDpi="600" verticalDpi="600" orientation="portrait" paperSize="9" scale="42" r:id="rId1"/>
  <rowBreaks count="1" manualBreakCount="1">
    <brk id="1003" max="15" man="1"/>
  </rowBreaks>
  <colBreaks count="1" manualBreakCount="1">
    <brk id="3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AE36"/>
  <sheetViews>
    <sheetView zoomScaleSheetLayoutView="100" zoomScalePageLayoutView="0" workbookViewId="0" topLeftCell="A1">
      <selection activeCell="G12" sqref="G12"/>
    </sheetView>
  </sheetViews>
  <sheetFormatPr defaultColWidth="9.140625" defaultRowHeight="12.75"/>
  <cols>
    <col min="1" max="1" width="4.57421875" style="7" customWidth="1"/>
    <col min="2" max="2" width="28.28125" style="7" customWidth="1"/>
    <col min="3" max="3" width="13.140625" style="140" hidden="1" customWidth="1"/>
    <col min="4" max="4" width="11.421875" style="140" customWidth="1"/>
    <col min="5" max="5" width="10.57421875" style="140" customWidth="1"/>
    <col min="6" max="6" width="14.140625" style="140" customWidth="1"/>
    <col min="7" max="16384" width="9.140625" style="7" customWidth="1"/>
  </cols>
  <sheetData>
    <row r="1" spans="3:6" s="4" customFormat="1" ht="12.75">
      <c r="C1" s="139"/>
      <c r="D1" s="139" t="s">
        <v>503</v>
      </c>
      <c r="E1" s="139"/>
      <c r="F1" s="139"/>
    </row>
    <row r="2" spans="3:6" s="4" customFormat="1" ht="12.75">
      <c r="C2" s="139"/>
      <c r="D2" s="139" t="s">
        <v>356</v>
      </c>
      <c r="E2" s="139"/>
      <c r="F2" s="139"/>
    </row>
    <row r="3" spans="3:6" s="4" customFormat="1" ht="12.75">
      <c r="C3" s="139"/>
      <c r="D3" s="139" t="s">
        <v>500</v>
      </c>
      <c r="E3" s="139"/>
      <c r="F3" s="139"/>
    </row>
    <row r="4" spans="3:6" s="4" customFormat="1" ht="12.75">
      <c r="C4" s="139"/>
      <c r="D4" s="139" t="s">
        <v>501</v>
      </c>
      <c r="E4" s="139"/>
      <c r="F4" s="139"/>
    </row>
    <row r="5" spans="3:6" s="4" customFormat="1" ht="12.75">
      <c r="C5" s="139"/>
      <c r="D5" s="139"/>
      <c r="E5" s="139"/>
      <c r="F5" s="139"/>
    </row>
    <row r="7" ht="12.75">
      <c r="B7" s="2" t="s">
        <v>329</v>
      </c>
    </row>
    <row r="8" spans="2:6" s="2" customFormat="1" ht="12.75">
      <c r="B8" s="2" t="s">
        <v>917</v>
      </c>
      <c r="C8" s="141"/>
      <c r="D8" s="141"/>
      <c r="E8" s="141"/>
      <c r="F8" s="141"/>
    </row>
    <row r="9" ht="12.75">
      <c r="C9" s="144"/>
    </row>
    <row r="10" spans="1:31" s="12" customFormat="1" ht="30" customHeight="1">
      <c r="A10" s="23" t="s">
        <v>502</v>
      </c>
      <c r="B10" s="813" t="s">
        <v>212</v>
      </c>
      <c r="C10" s="142" t="s">
        <v>171</v>
      </c>
      <c r="D10" s="142" t="s">
        <v>171</v>
      </c>
      <c r="E10" s="142" t="s">
        <v>171</v>
      </c>
      <c r="F10" s="142" t="s">
        <v>171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1"/>
      <c r="Y10" s="11"/>
      <c r="Z10" s="11"/>
      <c r="AA10" s="11"/>
      <c r="AB10" s="11"/>
      <c r="AC10" s="11"/>
      <c r="AD10" s="11"/>
      <c r="AE10" s="11"/>
    </row>
    <row r="11" spans="1:31" s="3" customFormat="1" ht="21" customHeight="1">
      <c r="A11" s="26"/>
      <c r="B11" s="814"/>
      <c r="C11" s="148">
        <v>2012</v>
      </c>
      <c r="D11" s="148" t="s">
        <v>1021</v>
      </c>
      <c r="E11" s="148" t="s">
        <v>1022</v>
      </c>
      <c r="F11" s="148" t="s">
        <v>1018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4"/>
      <c r="AA11" s="14"/>
      <c r="AB11" s="14"/>
      <c r="AC11" s="14"/>
      <c r="AD11" s="14"/>
      <c r="AE11" s="14"/>
    </row>
    <row r="12" spans="1:31" ht="24.75" customHeight="1">
      <c r="A12" s="16">
        <v>1</v>
      </c>
      <c r="B12" s="6" t="s">
        <v>213</v>
      </c>
      <c r="C12" s="127">
        <v>1101.39</v>
      </c>
      <c r="D12" s="478">
        <v>1314.9</v>
      </c>
      <c r="E12" s="287">
        <v>1377.33</v>
      </c>
      <c r="F12" s="619">
        <f>E12/D12</f>
        <v>1.0474788957335157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8"/>
      <c r="Y12" s="18"/>
      <c r="Z12" s="18"/>
      <c r="AA12" s="18"/>
      <c r="AB12" s="18"/>
      <c r="AC12" s="18"/>
      <c r="AD12" s="18"/>
      <c r="AE12" s="18"/>
    </row>
    <row r="13" spans="1:31" ht="24.75" customHeight="1">
      <c r="A13" s="16">
        <v>2</v>
      </c>
      <c r="B13" s="6" t="s">
        <v>214</v>
      </c>
      <c r="C13" s="127">
        <v>1544.58</v>
      </c>
      <c r="D13" s="478">
        <v>1798.2</v>
      </c>
      <c r="E13" s="287">
        <v>1883.62</v>
      </c>
      <c r="F13" s="619">
        <f aca="true" t="shared" si="0" ref="F13:F32">E13/D13</f>
        <v>1.0475030586141696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8"/>
      <c r="Y13" s="18"/>
      <c r="Z13" s="18"/>
      <c r="AA13" s="18"/>
      <c r="AB13" s="18"/>
      <c r="AC13" s="18"/>
      <c r="AD13" s="18"/>
      <c r="AE13" s="18"/>
    </row>
    <row r="14" spans="1:31" ht="24.75" customHeight="1">
      <c r="A14" s="16">
        <v>3</v>
      </c>
      <c r="B14" s="6" t="s">
        <v>215</v>
      </c>
      <c r="C14" s="145">
        <v>1231.41</v>
      </c>
      <c r="D14" s="479">
        <v>1400.1</v>
      </c>
      <c r="E14" s="288">
        <v>1466.63</v>
      </c>
      <c r="F14" s="619">
        <f t="shared" si="0"/>
        <v>1.0475180344261126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6" ht="24.75" customHeight="1">
      <c r="A15" s="16">
        <v>4</v>
      </c>
      <c r="B15" s="6" t="s">
        <v>216</v>
      </c>
      <c r="C15" s="145">
        <v>470.69</v>
      </c>
      <c r="D15" s="480">
        <v>548.3</v>
      </c>
      <c r="E15" s="289">
        <v>574.39</v>
      </c>
      <c r="F15" s="619">
        <f t="shared" si="0"/>
        <v>1.0475834397227795</v>
      </c>
    </row>
    <row r="16" spans="1:6" ht="24.75" customHeight="1">
      <c r="A16" s="16">
        <v>5</v>
      </c>
      <c r="B16" s="6" t="s">
        <v>217</v>
      </c>
      <c r="C16" s="145">
        <v>1771.48</v>
      </c>
      <c r="D16" s="480">
        <v>2016.4</v>
      </c>
      <c r="E16" s="289">
        <v>2112.16</v>
      </c>
      <c r="F16" s="619">
        <f t="shared" si="0"/>
        <v>1.0474905772664154</v>
      </c>
    </row>
    <row r="17" spans="1:6" ht="24.75" customHeight="1">
      <c r="A17" s="16">
        <v>6</v>
      </c>
      <c r="B17" s="6" t="s">
        <v>218</v>
      </c>
      <c r="C17" s="145">
        <v>960.12</v>
      </c>
      <c r="D17" s="480">
        <v>1092.4</v>
      </c>
      <c r="E17" s="289">
        <v>1144.25</v>
      </c>
      <c r="F17" s="619">
        <f t="shared" si="0"/>
        <v>1.0474642987916514</v>
      </c>
    </row>
    <row r="18" spans="1:6" ht="24.75" customHeight="1">
      <c r="A18" s="16">
        <v>7</v>
      </c>
      <c r="B18" s="6" t="s">
        <v>219</v>
      </c>
      <c r="C18" s="145">
        <v>2875.37</v>
      </c>
      <c r="D18" s="480">
        <v>3394.8</v>
      </c>
      <c r="E18" s="289">
        <v>3556.09</v>
      </c>
      <c r="F18" s="619">
        <f t="shared" si="0"/>
        <v>1.0475108990220336</v>
      </c>
    </row>
    <row r="19" spans="1:6" ht="24.75" customHeight="1">
      <c r="A19" s="16">
        <v>8</v>
      </c>
      <c r="B19" s="6" t="s">
        <v>220</v>
      </c>
      <c r="C19" s="145">
        <v>471.31</v>
      </c>
      <c r="D19" s="480">
        <v>555.6</v>
      </c>
      <c r="E19" s="289">
        <v>581.96</v>
      </c>
      <c r="F19" s="619">
        <f t="shared" si="0"/>
        <v>1.047444204463643</v>
      </c>
    </row>
    <row r="20" spans="1:6" ht="24.75" customHeight="1">
      <c r="A20" s="16">
        <v>9</v>
      </c>
      <c r="B20" s="6" t="s">
        <v>221</v>
      </c>
      <c r="C20" s="145">
        <v>685.09</v>
      </c>
      <c r="D20" s="480">
        <v>795.4</v>
      </c>
      <c r="E20" s="289">
        <v>833.21</v>
      </c>
      <c r="F20" s="619">
        <f t="shared" si="0"/>
        <v>1.0475358310284135</v>
      </c>
    </row>
    <row r="21" spans="1:6" ht="24.75" customHeight="1">
      <c r="A21" s="16">
        <v>10</v>
      </c>
      <c r="B21" s="6" t="s">
        <v>222</v>
      </c>
      <c r="C21" s="145">
        <v>2241.54</v>
      </c>
      <c r="D21" s="480">
        <v>2538</v>
      </c>
      <c r="E21" s="289">
        <v>2658.55</v>
      </c>
      <c r="F21" s="619">
        <f t="shared" si="0"/>
        <v>1.0474980299448384</v>
      </c>
    </row>
    <row r="22" spans="1:6" ht="24.75" customHeight="1">
      <c r="A22" s="16">
        <v>11</v>
      </c>
      <c r="B22" s="6" t="s">
        <v>223</v>
      </c>
      <c r="C22" s="145">
        <v>1258.91</v>
      </c>
      <c r="D22" s="480">
        <v>1541.7</v>
      </c>
      <c r="E22" s="289">
        <v>1614.96</v>
      </c>
      <c r="F22" s="619">
        <f t="shared" si="0"/>
        <v>1.0475189725627554</v>
      </c>
    </row>
    <row r="23" spans="1:6" ht="24.75" customHeight="1">
      <c r="A23" s="16">
        <v>12</v>
      </c>
      <c r="B23" s="6" t="s">
        <v>224</v>
      </c>
      <c r="C23" s="145">
        <v>720.72</v>
      </c>
      <c r="D23" s="480">
        <v>856.1</v>
      </c>
      <c r="E23" s="289">
        <v>896.78</v>
      </c>
      <c r="F23" s="619">
        <f t="shared" si="0"/>
        <v>1.047517813339563</v>
      </c>
    </row>
    <row r="24" spans="1:6" ht="24.75" customHeight="1">
      <c r="A24" s="16">
        <v>13</v>
      </c>
      <c r="B24" s="6" t="s">
        <v>225</v>
      </c>
      <c r="C24" s="145">
        <v>360.67</v>
      </c>
      <c r="D24" s="480">
        <v>400.2</v>
      </c>
      <c r="E24" s="289">
        <v>419.25</v>
      </c>
      <c r="F24" s="619">
        <f t="shared" si="0"/>
        <v>1.0476011994002998</v>
      </c>
    </row>
    <row r="25" spans="1:6" ht="24.75" customHeight="1">
      <c r="A25" s="16">
        <v>14</v>
      </c>
      <c r="B25" s="6" t="s">
        <v>226</v>
      </c>
      <c r="C25" s="145">
        <v>1773.35</v>
      </c>
      <c r="D25" s="480">
        <v>2098</v>
      </c>
      <c r="E25" s="289">
        <v>2197.68</v>
      </c>
      <c r="F25" s="619">
        <f t="shared" si="0"/>
        <v>1.0475119161105815</v>
      </c>
    </row>
    <row r="26" spans="1:6" ht="24.75" customHeight="1">
      <c r="A26" s="16">
        <v>15</v>
      </c>
      <c r="B26" s="6" t="s">
        <v>227</v>
      </c>
      <c r="C26" s="145">
        <v>444.43</v>
      </c>
      <c r="D26" s="480">
        <v>499.2</v>
      </c>
      <c r="E26" s="289">
        <v>522.93</v>
      </c>
      <c r="F26" s="619">
        <f t="shared" si="0"/>
        <v>1.0475360576923076</v>
      </c>
    </row>
    <row r="27" spans="1:6" ht="24.75" customHeight="1">
      <c r="A27" s="16">
        <v>16</v>
      </c>
      <c r="B27" s="6" t="s">
        <v>228</v>
      </c>
      <c r="C27" s="145">
        <v>1307.67</v>
      </c>
      <c r="D27" s="480">
        <v>1448.5</v>
      </c>
      <c r="E27" s="289">
        <v>1517.34</v>
      </c>
      <c r="F27" s="619">
        <f t="shared" si="0"/>
        <v>1.0475250258888504</v>
      </c>
    </row>
    <row r="28" spans="1:6" ht="24.75" customHeight="1">
      <c r="A28" s="16">
        <v>17</v>
      </c>
      <c r="B28" s="6" t="s">
        <v>229</v>
      </c>
      <c r="C28" s="145">
        <v>528.82</v>
      </c>
      <c r="D28" s="480">
        <v>622.8</v>
      </c>
      <c r="E28" s="289">
        <v>652.34</v>
      </c>
      <c r="F28" s="619">
        <f t="shared" si="0"/>
        <v>1.0474309569685294</v>
      </c>
    </row>
    <row r="29" spans="1:6" ht="24.75" customHeight="1">
      <c r="A29" s="16">
        <v>18</v>
      </c>
      <c r="B29" s="6" t="s">
        <v>421</v>
      </c>
      <c r="C29" s="145">
        <v>1587.08</v>
      </c>
      <c r="D29" s="480">
        <v>1826.4</v>
      </c>
      <c r="E29" s="289">
        <v>1913.13</v>
      </c>
      <c r="F29" s="619">
        <f t="shared" si="0"/>
        <v>1.0474868593955322</v>
      </c>
    </row>
    <row r="30" spans="1:6" ht="24.75" customHeight="1">
      <c r="A30" s="16">
        <v>19</v>
      </c>
      <c r="B30" s="6" t="s">
        <v>422</v>
      </c>
      <c r="C30" s="145">
        <v>747.6</v>
      </c>
      <c r="D30" s="480">
        <v>879.2</v>
      </c>
      <c r="E30" s="289">
        <v>921</v>
      </c>
      <c r="F30" s="619">
        <f t="shared" si="0"/>
        <v>1.0475432211101001</v>
      </c>
    </row>
    <row r="31" spans="1:6" ht="24.75" customHeight="1">
      <c r="A31" s="16">
        <v>20</v>
      </c>
      <c r="B31" s="6" t="s">
        <v>423</v>
      </c>
      <c r="C31" s="145">
        <v>1558.33</v>
      </c>
      <c r="D31" s="480">
        <f>1821.3+0.07</f>
        <v>1821.37</v>
      </c>
      <c r="E31" s="289">
        <v>1907.83</v>
      </c>
      <c r="F31" s="619">
        <f t="shared" si="0"/>
        <v>1.0474697617727315</v>
      </c>
    </row>
    <row r="32" spans="1:6" ht="24.75" customHeight="1">
      <c r="A32" s="16">
        <v>21</v>
      </c>
      <c r="B32" s="6" t="s">
        <v>424</v>
      </c>
      <c r="C32" s="145">
        <v>6265.19</v>
      </c>
      <c r="D32" s="480">
        <v>7281.7</v>
      </c>
      <c r="E32" s="289">
        <v>7627.55</v>
      </c>
      <c r="F32" s="619">
        <f t="shared" si="0"/>
        <v>1.0474957770850215</v>
      </c>
    </row>
    <row r="33" spans="1:6" s="19" customFormat="1" ht="24.75" customHeight="1">
      <c r="A33" s="22" t="s">
        <v>425</v>
      </c>
      <c r="B33" s="22"/>
      <c r="C33" s="131">
        <f>SUM(C12:C32)</f>
        <v>29905.749999999996</v>
      </c>
      <c r="D33" s="290">
        <f>SUM(D12:D32)</f>
        <v>34729.270000000004</v>
      </c>
      <c r="E33" s="290">
        <f>SUM(E12:E32)</f>
        <v>36378.98</v>
      </c>
      <c r="F33" s="620">
        <f>E33/D33</f>
        <v>1.047502006232783</v>
      </c>
    </row>
    <row r="34" spans="1:3" ht="12.75" customHeight="1" hidden="1">
      <c r="A34" s="20"/>
      <c r="B34" s="20"/>
      <c r="C34" s="146"/>
    </row>
    <row r="35" ht="12.75" customHeight="1" hidden="1">
      <c r="C35" s="146"/>
    </row>
    <row r="36" ht="12.75" hidden="1">
      <c r="C36" s="147"/>
    </row>
  </sheetData>
  <sheetProtection/>
  <mergeCells count="1">
    <mergeCell ref="B10:B11"/>
  </mergeCells>
  <printOptions/>
  <pageMargins left="0.42" right="0.5905511811023623" top="0.5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D36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4.57421875" style="7" customWidth="1"/>
    <col min="2" max="2" width="28.7109375" style="7" customWidth="1"/>
    <col min="3" max="3" width="16.28125" style="7" hidden="1" customWidth="1"/>
    <col min="4" max="4" width="11.421875" style="216" customWidth="1"/>
    <col min="5" max="5" width="11.57421875" style="216" customWidth="1"/>
    <col min="6" max="6" width="18.00390625" style="216" customWidth="1"/>
    <col min="7" max="7" width="9.140625" style="581" customWidth="1"/>
    <col min="8" max="16384" width="9.140625" style="7" customWidth="1"/>
  </cols>
  <sheetData>
    <row r="1" spans="4:7" s="4" customFormat="1" ht="12.75">
      <c r="D1" s="215" t="s">
        <v>763</v>
      </c>
      <c r="E1" s="215"/>
      <c r="F1" s="215"/>
      <c r="G1" s="580"/>
    </row>
    <row r="2" spans="4:7" s="4" customFormat="1" ht="12.75">
      <c r="D2" s="215" t="s">
        <v>356</v>
      </c>
      <c r="E2" s="215"/>
      <c r="F2" s="215"/>
      <c r="G2" s="580"/>
    </row>
    <row r="3" spans="4:7" s="4" customFormat="1" ht="12.75">
      <c r="D3" s="215" t="s">
        <v>500</v>
      </c>
      <c r="E3" s="215"/>
      <c r="F3" s="215"/>
      <c r="G3" s="580"/>
    </row>
    <row r="4" spans="4:7" s="4" customFormat="1" ht="12.75">
      <c r="D4" s="215" t="s">
        <v>501</v>
      </c>
      <c r="E4" s="215"/>
      <c r="F4" s="215"/>
      <c r="G4" s="580"/>
    </row>
    <row r="5" spans="3:7" s="4" customFormat="1" ht="12.75">
      <c r="C5"/>
      <c r="D5" s="215"/>
      <c r="E5" s="215"/>
      <c r="F5" s="215"/>
      <c r="G5" s="580"/>
    </row>
    <row r="7" spans="2:3" ht="12.75">
      <c r="B7" s="2" t="s">
        <v>370</v>
      </c>
      <c r="C7" s="9"/>
    </row>
    <row r="8" spans="2:7" s="2" customFormat="1" ht="12.75">
      <c r="B8" s="2" t="s">
        <v>1008</v>
      </c>
      <c r="C8" s="9"/>
      <c r="D8" s="217"/>
      <c r="E8" s="217"/>
      <c r="F8" s="217"/>
      <c r="G8" s="582"/>
    </row>
    <row r="10" spans="1:30" s="12" customFormat="1" ht="21.75" customHeight="1">
      <c r="A10" s="23" t="s">
        <v>502</v>
      </c>
      <c r="B10" s="23" t="s">
        <v>212</v>
      </c>
      <c r="C10" s="132" t="s">
        <v>171</v>
      </c>
      <c r="D10" s="218" t="s">
        <v>171</v>
      </c>
      <c r="E10" s="218" t="s">
        <v>171</v>
      </c>
      <c r="F10" s="218" t="s">
        <v>171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  <c r="X10" s="11"/>
      <c r="Y10" s="11"/>
      <c r="Z10" s="11"/>
      <c r="AA10" s="11"/>
      <c r="AB10" s="11"/>
      <c r="AC10" s="11"/>
      <c r="AD10" s="11"/>
    </row>
    <row r="11" spans="1:30" s="3" customFormat="1" ht="15" customHeight="1">
      <c r="A11" s="26"/>
      <c r="B11" s="26"/>
      <c r="C11" s="1">
        <v>2012</v>
      </c>
      <c r="D11" s="148" t="s">
        <v>1021</v>
      </c>
      <c r="E11" s="148" t="s">
        <v>1022</v>
      </c>
      <c r="F11" s="148" t="s">
        <v>1018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  <c r="X11" s="14"/>
      <c r="Y11" s="14"/>
      <c r="Z11" s="14"/>
      <c r="AA11" s="14"/>
      <c r="AB11" s="14"/>
      <c r="AC11" s="14"/>
      <c r="AD11" s="14"/>
    </row>
    <row r="12" spans="1:30" ht="12.75">
      <c r="A12" s="16">
        <v>1</v>
      </c>
      <c r="B12" s="6" t="s">
        <v>213</v>
      </c>
      <c r="C12" s="127">
        <v>57.452</v>
      </c>
      <c r="D12" s="579">
        <v>166.872</v>
      </c>
      <c r="E12" s="579">
        <v>166.872</v>
      </c>
      <c r="F12" s="621">
        <f>E12/D12</f>
        <v>1</v>
      </c>
      <c r="G12" s="583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8"/>
      <c r="X12" s="18"/>
      <c r="Y12" s="18"/>
      <c r="Z12" s="18"/>
      <c r="AA12" s="18"/>
      <c r="AB12" s="18"/>
      <c r="AC12" s="18"/>
      <c r="AD12" s="18"/>
    </row>
    <row r="13" spans="1:30" ht="12.75">
      <c r="A13" s="16">
        <v>2</v>
      </c>
      <c r="B13" s="6" t="s">
        <v>214</v>
      </c>
      <c r="C13" s="127">
        <v>142.217</v>
      </c>
      <c r="D13" s="579">
        <v>166.872</v>
      </c>
      <c r="E13" s="579">
        <v>166.872</v>
      </c>
      <c r="F13" s="621">
        <f aca="true" t="shared" si="0" ref="F13:F32">E13/D13</f>
        <v>1</v>
      </c>
      <c r="G13" s="583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</row>
    <row r="14" spans="1:30" ht="12.75">
      <c r="A14" s="16">
        <v>3</v>
      </c>
      <c r="B14" s="6" t="s">
        <v>215</v>
      </c>
      <c r="C14" s="127">
        <v>142.217</v>
      </c>
      <c r="D14" s="579">
        <v>166.872</v>
      </c>
      <c r="E14" s="579">
        <v>166.872</v>
      </c>
      <c r="F14" s="621">
        <f t="shared" si="0"/>
        <v>1</v>
      </c>
      <c r="G14" s="583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7" ht="12.75">
      <c r="A15" s="16">
        <v>4</v>
      </c>
      <c r="B15" s="6" t="s">
        <v>216</v>
      </c>
      <c r="C15" s="127">
        <v>57.452</v>
      </c>
      <c r="D15" s="579">
        <v>66.749</v>
      </c>
      <c r="E15" s="579">
        <v>66.749</v>
      </c>
      <c r="F15" s="621">
        <f t="shared" si="0"/>
        <v>1</v>
      </c>
      <c r="G15" s="583"/>
    </row>
    <row r="16" spans="1:7" ht="12.75">
      <c r="A16" s="16">
        <v>5</v>
      </c>
      <c r="B16" s="6" t="s">
        <v>217</v>
      </c>
      <c r="C16" s="127">
        <v>142.217</v>
      </c>
      <c r="D16" s="579">
        <v>166.872</v>
      </c>
      <c r="E16" s="579">
        <v>150.185</v>
      </c>
      <c r="F16" s="621">
        <f t="shared" si="0"/>
        <v>0.9000011985234191</v>
      </c>
      <c r="G16" s="583"/>
    </row>
    <row r="17" spans="1:7" ht="12.75">
      <c r="A17" s="16">
        <v>6</v>
      </c>
      <c r="B17" s="6" t="s">
        <v>218</v>
      </c>
      <c r="C17" s="127">
        <v>142.217</v>
      </c>
      <c r="D17" s="579">
        <v>166.872</v>
      </c>
      <c r="E17" s="579">
        <v>166.872</v>
      </c>
      <c r="F17" s="621">
        <f t="shared" si="0"/>
        <v>1</v>
      </c>
      <c r="G17" s="583"/>
    </row>
    <row r="18" spans="1:7" ht="12.75">
      <c r="A18" s="16">
        <v>7</v>
      </c>
      <c r="B18" s="6" t="s">
        <v>219</v>
      </c>
      <c r="C18" s="127">
        <v>283.491</v>
      </c>
      <c r="D18" s="579">
        <v>166.872</v>
      </c>
      <c r="E18" s="579">
        <v>166.872</v>
      </c>
      <c r="F18" s="621">
        <f t="shared" si="0"/>
        <v>1</v>
      </c>
      <c r="G18" s="583"/>
    </row>
    <row r="19" spans="1:7" ht="12.75">
      <c r="A19" s="16">
        <v>8</v>
      </c>
      <c r="B19" s="6" t="s">
        <v>220</v>
      </c>
      <c r="C19" s="127">
        <v>57.452</v>
      </c>
      <c r="D19" s="579">
        <v>66.749</v>
      </c>
      <c r="E19" s="579">
        <v>66.749</v>
      </c>
      <c r="F19" s="621">
        <f t="shared" si="0"/>
        <v>1</v>
      </c>
      <c r="G19" s="583"/>
    </row>
    <row r="20" spans="1:7" ht="12.75">
      <c r="A20" s="16">
        <v>9</v>
      </c>
      <c r="B20" s="6" t="s">
        <v>221</v>
      </c>
      <c r="C20" s="127">
        <v>57.452</v>
      </c>
      <c r="D20" s="579">
        <v>66.749</v>
      </c>
      <c r="E20" s="579">
        <v>66.749</v>
      </c>
      <c r="F20" s="621">
        <f t="shared" si="0"/>
        <v>1</v>
      </c>
      <c r="G20" s="583"/>
    </row>
    <row r="21" spans="1:7" ht="12.75">
      <c r="A21" s="16">
        <v>10</v>
      </c>
      <c r="B21" s="6" t="s">
        <v>222</v>
      </c>
      <c r="C21" s="127">
        <v>142.217</v>
      </c>
      <c r="D21" s="579">
        <v>166.872</v>
      </c>
      <c r="E21" s="579">
        <v>166.872</v>
      </c>
      <c r="F21" s="621">
        <f t="shared" si="0"/>
        <v>1</v>
      </c>
      <c r="G21" s="583"/>
    </row>
    <row r="22" spans="1:7" ht="12.75">
      <c r="A22" s="16">
        <v>11</v>
      </c>
      <c r="B22" s="6" t="s">
        <v>223</v>
      </c>
      <c r="C22" s="127">
        <v>142.217</v>
      </c>
      <c r="D22" s="579">
        <v>166.872</v>
      </c>
      <c r="E22" s="579">
        <v>166.872</v>
      </c>
      <c r="F22" s="621">
        <f t="shared" si="0"/>
        <v>1</v>
      </c>
      <c r="G22" s="583"/>
    </row>
    <row r="23" spans="1:7" ht="12.75">
      <c r="A23" s="16">
        <v>12</v>
      </c>
      <c r="B23" s="6" t="s">
        <v>224</v>
      </c>
      <c r="C23" s="127">
        <v>57.452</v>
      </c>
      <c r="D23" s="579">
        <v>66.749</v>
      </c>
      <c r="E23" s="579">
        <v>66.749</v>
      </c>
      <c r="F23" s="621">
        <f t="shared" si="0"/>
        <v>1</v>
      </c>
      <c r="G23" s="583"/>
    </row>
    <row r="24" spans="1:7" ht="12.75">
      <c r="A24" s="16">
        <v>13</v>
      </c>
      <c r="B24" s="6" t="s">
        <v>225</v>
      </c>
      <c r="C24" s="127">
        <v>57.452</v>
      </c>
      <c r="D24" s="579">
        <v>66.749</v>
      </c>
      <c r="E24" s="579">
        <v>66.229</v>
      </c>
      <c r="F24" s="621">
        <f t="shared" si="0"/>
        <v>0.9922096211179194</v>
      </c>
      <c r="G24" s="583"/>
    </row>
    <row r="25" spans="1:7" ht="12.75">
      <c r="A25" s="16">
        <v>14</v>
      </c>
      <c r="B25" s="6" t="s">
        <v>226</v>
      </c>
      <c r="C25" s="127">
        <v>142.217</v>
      </c>
      <c r="D25" s="579">
        <v>166.872</v>
      </c>
      <c r="E25" s="579">
        <v>166.872</v>
      </c>
      <c r="F25" s="621">
        <f t="shared" si="0"/>
        <v>1</v>
      </c>
      <c r="G25" s="583"/>
    </row>
    <row r="26" spans="1:7" ht="12.75">
      <c r="A26" s="16">
        <v>15</v>
      </c>
      <c r="B26" s="6" t="s">
        <v>227</v>
      </c>
      <c r="C26" s="127">
        <v>57.452</v>
      </c>
      <c r="D26" s="579">
        <v>66.749</v>
      </c>
      <c r="E26" s="579">
        <v>42.251</v>
      </c>
      <c r="F26" s="621">
        <f t="shared" si="0"/>
        <v>0.6329832656669014</v>
      </c>
      <c r="G26" s="583"/>
    </row>
    <row r="27" spans="1:7" ht="12.75">
      <c r="A27" s="16">
        <v>16</v>
      </c>
      <c r="B27" s="6" t="s">
        <v>228</v>
      </c>
      <c r="C27" s="127">
        <v>142.217</v>
      </c>
      <c r="D27" s="579">
        <v>166.872</v>
      </c>
      <c r="E27" s="579">
        <v>166.872</v>
      </c>
      <c r="F27" s="621">
        <f t="shared" si="0"/>
        <v>1</v>
      </c>
      <c r="G27" s="583"/>
    </row>
    <row r="28" spans="1:7" ht="12.75">
      <c r="A28" s="16">
        <v>17</v>
      </c>
      <c r="B28" s="6" t="s">
        <v>229</v>
      </c>
      <c r="C28" s="127">
        <v>57.452</v>
      </c>
      <c r="D28" s="579">
        <v>66.749</v>
      </c>
      <c r="E28" s="579">
        <v>66.749</v>
      </c>
      <c r="F28" s="621">
        <f t="shared" si="0"/>
        <v>1</v>
      </c>
      <c r="G28" s="583"/>
    </row>
    <row r="29" spans="1:7" ht="12.75">
      <c r="A29" s="16">
        <v>18</v>
      </c>
      <c r="B29" s="6" t="s">
        <v>421</v>
      </c>
      <c r="C29" s="127">
        <v>142.217</v>
      </c>
      <c r="D29" s="579">
        <v>166.872</v>
      </c>
      <c r="E29" s="579">
        <v>166.872</v>
      </c>
      <c r="F29" s="621">
        <f t="shared" si="0"/>
        <v>1</v>
      </c>
      <c r="G29" s="583"/>
    </row>
    <row r="30" spans="1:7" ht="12.75">
      <c r="A30" s="16">
        <v>19</v>
      </c>
      <c r="B30" s="6" t="s">
        <v>422</v>
      </c>
      <c r="C30" s="127">
        <v>57.452</v>
      </c>
      <c r="D30" s="579">
        <v>66.749</v>
      </c>
      <c r="E30" s="579">
        <v>66.749</v>
      </c>
      <c r="F30" s="621">
        <f t="shared" si="0"/>
        <v>1</v>
      </c>
      <c r="G30" s="583"/>
    </row>
    <row r="31" spans="1:7" ht="12.75">
      <c r="A31" s="16">
        <v>20</v>
      </c>
      <c r="B31" s="6" t="s">
        <v>423</v>
      </c>
      <c r="C31" s="127">
        <v>142.217</v>
      </c>
      <c r="D31" s="579">
        <v>166.872</v>
      </c>
      <c r="E31" s="579">
        <v>166.872</v>
      </c>
      <c r="F31" s="621">
        <f t="shared" si="0"/>
        <v>1</v>
      </c>
      <c r="G31" s="583"/>
    </row>
    <row r="32" spans="1:7" ht="12.75">
      <c r="A32" s="16">
        <v>21</v>
      </c>
      <c r="B32" s="6" t="s">
        <v>424</v>
      </c>
      <c r="C32" s="127">
        <v>424.77</v>
      </c>
      <c r="D32" s="579">
        <v>333.744</v>
      </c>
      <c r="E32" s="579">
        <v>333.744</v>
      </c>
      <c r="F32" s="621">
        <f t="shared" si="0"/>
        <v>1</v>
      </c>
      <c r="G32" s="583"/>
    </row>
    <row r="33" spans="1:7" s="19" customFormat="1" ht="12.75">
      <c r="A33" s="815" t="s">
        <v>425</v>
      </c>
      <c r="B33" s="816"/>
      <c r="C33" s="131">
        <f>SUM(C12:C32)</f>
        <v>2647.4990000000007</v>
      </c>
      <c r="D33" s="131">
        <f>SUM(D12:D32)</f>
        <v>2870.2</v>
      </c>
      <c r="E33" s="131">
        <f>SUM(E12:E32)</f>
        <v>2828.495</v>
      </c>
      <c r="F33" s="620">
        <f>E33/D33</f>
        <v>0.9854696536826703</v>
      </c>
      <c r="G33" s="584"/>
    </row>
    <row r="34" spans="1:3" ht="12.75" customHeight="1" hidden="1">
      <c r="A34" s="20"/>
      <c r="B34" s="20"/>
      <c r="C34" s="20"/>
    </row>
    <row r="35" ht="12.75" customHeight="1" hidden="1"/>
    <row r="36" ht="12.75" hidden="1">
      <c r="C36" s="25"/>
    </row>
  </sheetData>
  <sheetProtection/>
  <mergeCells count="1">
    <mergeCell ref="A33:B33"/>
  </mergeCells>
  <printOptions/>
  <pageMargins left="0.75" right="0.75" top="0.52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AD29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4.57421875" style="7" customWidth="1"/>
    <col min="2" max="2" width="28.7109375" style="7" customWidth="1"/>
    <col min="3" max="3" width="16.28125" style="7" hidden="1" customWidth="1"/>
    <col min="4" max="4" width="13.00390625" style="216" customWidth="1"/>
    <col min="5" max="5" width="11.57421875" style="216" hidden="1" customWidth="1"/>
    <col min="6" max="6" width="10.57421875" style="216" hidden="1" customWidth="1"/>
    <col min="7" max="7" width="14.57421875" style="7" customWidth="1"/>
    <col min="8" max="8" width="13.7109375" style="7" customWidth="1"/>
    <col min="9" max="16384" width="9.140625" style="7" customWidth="1"/>
  </cols>
  <sheetData>
    <row r="1" spans="4:6" s="4" customFormat="1" ht="12.75">
      <c r="D1" s="215" t="s">
        <v>497</v>
      </c>
      <c r="E1" s="215"/>
      <c r="F1" s="215"/>
    </row>
    <row r="2" spans="4:6" s="4" customFormat="1" ht="12.75">
      <c r="D2" s="215" t="s">
        <v>356</v>
      </c>
      <c r="E2" s="215"/>
      <c r="F2" s="215"/>
    </row>
    <row r="3" spans="4:6" s="4" customFormat="1" ht="12.75">
      <c r="D3" s="215" t="s">
        <v>500</v>
      </c>
      <c r="E3" s="215"/>
      <c r="F3" s="215"/>
    </row>
    <row r="4" spans="4:6" s="4" customFormat="1" ht="12.75">
      <c r="D4" s="215" t="s">
        <v>501</v>
      </c>
      <c r="E4" s="215"/>
      <c r="F4" s="215"/>
    </row>
    <row r="5" spans="3:6" s="4" customFormat="1" ht="12.75">
      <c r="C5"/>
      <c r="D5" s="215"/>
      <c r="E5" s="215"/>
      <c r="F5" s="215"/>
    </row>
    <row r="7" spans="2:3" ht="12.75">
      <c r="B7" s="2" t="s">
        <v>73</v>
      </c>
      <c r="C7" s="9"/>
    </row>
    <row r="8" spans="2:6" s="2" customFormat="1" ht="12.75">
      <c r="B8" s="2" t="s">
        <v>918</v>
      </c>
      <c r="C8" s="9"/>
      <c r="D8" s="217"/>
      <c r="E8" s="217"/>
      <c r="F8" s="217"/>
    </row>
    <row r="10" spans="1:30" s="12" customFormat="1" ht="26.25" customHeight="1">
      <c r="A10" s="23" t="s">
        <v>502</v>
      </c>
      <c r="B10" s="23" t="s">
        <v>212</v>
      </c>
      <c r="C10" s="132" t="s">
        <v>171</v>
      </c>
      <c r="D10" s="218" t="s">
        <v>171</v>
      </c>
      <c r="E10" s="218" t="s">
        <v>171</v>
      </c>
      <c r="F10" s="218" t="s">
        <v>171</v>
      </c>
      <c r="G10" s="218" t="s">
        <v>171</v>
      </c>
      <c r="H10" s="218" t="s">
        <v>171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  <c r="X10" s="11"/>
      <c r="Y10" s="11"/>
      <c r="Z10" s="11"/>
      <c r="AA10" s="11"/>
      <c r="AB10" s="11"/>
      <c r="AC10" s="11"/>
      <c r="AD10" s="11"/>
    </row>
    <row r="11" spans="1:30" s="3" customFormat="1" ht="25.5">
      <c r="A11" s="26"/>
      <c r="B11" s="26"/>
      <c r="C11" s="1">
        <v>2012</v>
      </c>
      <c r="D11" s="143" t="s">
        <v>1021</v>
      </c>
      <c r="E11" s="143">
        <v>2016</v>
      </c>
      <c r="F11" s="143">
        <v>2017</v>
      </c>
      <c r="G11" s="143" t="s">
        <v>1022</v>
      </c>
      <c r="H11" s="143" t="s">
        <v>1018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  <c r="X11" s="14"/>
      <c r="Y11" s="14"/>
      <c r="Z11" s="14"/>
      <c r="AA11" s="14"/>
      <c r="AB11" s="14"/>
      <c r="AC11" s="14"/>
      <c r="AD11" s="14"/>
    </row>
    <row r="12" spans="1:30" ht="12.75">
      <c r="A12" s="16">
        <v>1</v>
      </c>
      <c r="B12" s="6" t="s">
        <v>213</v>
      </c>
      <c r="C12" s="127">
        <v>57.452</v>
      </c>
      <c r="D12" s="226">
        <v>83.53</v>
      </c>
      <c r="E12" s="226">
        <v>116</v>
      </c>
      <c r="F12" s="226">
        <v>116</v>
      </c>
      <c r="G12" s="226">
        <v>83.53</v>
      </c>
      <c r="H12" s="621">
        <f>G12/D12</f>
        <v>1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8"/>
      <c r="X12" s="18"/>
      <c r="Y12" s="18"/>
      <c r="Z12" s="18"/>
      <c r="AA12" s="18"/>
      <c r="AB12" s="18"/>
      <c r="AC12" s="18"/>
      <c r="AD12" s="18"/>
    </row>
    <row r="13" spans="1:30" ht="12.75">
      <c r="A13" s="16">
        <v>2</v>
      </c>
      <c r="B13" s="6" t="s">
        <v>215</v>
      </c>
      <c r="C13" s="127"/>
      <c r="D13" s="226">
        <v>11.15</v>
      </c>
      <c r="E13" s="226"/>
      <c r="F13" s="226"/>
      <c r="G13" s="226">
        <v>11.15</v>
      </c>
      <c r="H13" s="621">
        <f aca="true" t="shared" si="0" ref="H13:H25">G13/D13</f>
        <v>1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</row>
    <row r="14" spans="1:30" ht="12.75">
      <c r="A14" s="16">
        <v>3</v>
      </c>
      <c r="B14" s="6" t="s">
        <v>214</v>
      </c>
      <c r="C14" s="127">
        <v>142.217</v>
      </c>
      <c r="D14" s="226">
        <v>140.62</v>
      </c>
      <c r="E14" s="226">
        <v>198.04</v>
      </c>
      <c r="F14" s="226">
        <v>198.04</v>
      </c>
      <c r="G14" s="226">
        <v>140.62</v>
      </c>
      <c r="H14" s="621">
        <f t="shared" si="0"/>
        <v>1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8"/>
      <c r="X14" s="18"/>
      <c r="Y14" s="18"/>
      <c r="Z14" s="18"/>
      <c r="AA14" s="18"/>
      <c r="AB14" s="18"/>
      <c r="AC14" s="18"/>
      <c r="AD14" s="18"/>
    </row>
    <row r="15" spans="1:8" ht="12.75">
      <c r="A15" s="16">
        <v>4</v>
      </c>
      <c r="B15" s="6" t="s">
        <v>216</v>
      </c>
      <c r="C15" s="127">
        <v>57.452</v>
      </c>
      <c r="D15" s="226">
        <v>107.06</v>
      </c>
      <c r="E15" s="226">
        <v>111.67</v>
      </c>
      <c r="F15" s="226">
        <v>111.67</v>
      </c>
      <c r="G15" s="226">
        <v>107.06</v>
      </c>
      <c r="H15" s="621">
        <f t="shared" si="0"/>
        <v>1</v>
      </c>
    </row>
    <row r="16" spans="1:8" ht="12.75">
      <c r="A16" s="16">
        <v>5</v>
      </c>
      <c r="B16" s="6" t="s">
        <v>217</v>
      </c>
      <c r="C16" s="127">
        <v>142.217</v>
      </c>
      <c r="D16" s="226">
        <v>203.55</v>
      </c>
      <c r="E16" s="226">
        <v>227.19</v>
      </c>
      <c r="F16" s="226">
        <v>227.19</v>
      </c>
      <c r="G16" s="226">
        <v>203.55</v>
      </c>
      <c r="H16" s="621">
        <f t="shared" si="0"/>
        <v>1</v>
      </c>
    </row>
    <row r="17" spans="1:8" ht="12.75">
      <c r="A17" s="16">
        <v>6</v>
      </c>
      <c r="B17" s="6" t="s">
        <v>218</v>
      </c>
      <c r="C17" s="127">
        <v>142.217</v>
      </c>
      <c r="D17" s="226">
        <v>199.23</v>
      </c>
      <c r="E17" s="226">
        <v>194.11</v>
      </c>
      <c r="F17" s="226">
        <v>194.11</v>
      </c>
      <c r="G17" s="226">
        <v>199.23</v>
      </c>
      <c r="H17" s="621">
        <f t="shared" si="0"/>
        <v>1</v>
      </c>
    </row>
    <row r="18" spans="1:8" ht="12.75">
      <c r="A18" s="16">
        <v>7</v>
      </c>
      <c r="B18" s="6" t="s">
        <v>219</v>
      </c>
      <c r="C18" s="127">
        <v>283.491</v>
      </c>
      <c r="D18" s="226">
        <v>305.86</v>
      </c>
      <c r="E18" s="226">
        <v>313.83</v>
      </c>
      <c r="F18" s="226">
        <v>313.83</v>
      </c>
      <c r="G18" s="226">
        <v>305.86</v>
      </c>
      <c r="H18" s="621">
        <f t="shared" si="0"/>
        <v>1</v>
      </c>
    </row>
    <row r="19" spans="1:8" ht="12.75">
      <c r="A19" s="16">
        <v>8</v>
      </c>
      <c r="B19" s="6" t="s">
        <v>223</v>
      </c>
      <c r="C19" s="127">
        <v>142.217</v>
      </c>
      <c r="D19" s="226">
        <v>201.57</v>
      </c>
      <c r="E19" s="226">
        <v>213.86</v>
      </c>
      <c r="F19" s="226">
        <v>213.86</v>
      </c>
      <c r="G19" s="226">
        <v>201.57</v>
      </c>
      <c r="H19" s="621">
        <f t="shared" si="0"/>
        <v>1</v>
      </c>
    </row>
    <row r="20" spans="1:8" ht="12.75">
      <c r="A20" s="16">
        <v>9</v>
      </c>
      <c r="B20" s="6" t="s">
        <v>224</v>
      </c>
      <c r="C20" s="127">
        <v>57.452</v>
      </c>
      <c r="D20" s="226">
        <v>175.19</v>
      </c>
      <c r="E20" s="226">
        <v>170.07</v>
      </c>
      <c r="F20" s="226">
        <v>170.07</v>
      </c>
      <c r="G20" s="226">
        <v>175.19</v>
      </c>
      <c r="H20" s="621">
        <f t="shared" si="0"/>
        <v>1</v>
      </c>
    </row>
    <row r="21" spans="1:8" ht="12.75">
      <c r="A21" s="16">
        <v>10</v>
      </c>
      <c r="B21" s="6" t="s">
        <v>228</v>
      </c>
      <c r="C21" s="127">
        <v>142.217</v>
      </c>
      <c r="D21" s="226">
        <v>182.92</v>
      </c>
      <c r="E21" s="226">
        <v>177.8</v>
      </c>
      <c r="F21" s="226">
        <v>177.8</v>
      </c>
      <c r="G21" s="226">
        <v>182.92</v>
      </c>
      <c r="H21" s="621">
        <f t="shared" si="0"/>
        <v>1</v>
      </c>
    </row>
    <row r="22" spans="1:8" ht="12.75">
      <c r="A22" s="16">
        <v>11</v>
      </c>
      <c r="B22" s="6" t="s">
        <v>229</v>
      </c>
      <c r="C22" s="127">
        <v>57.452</v>
      </c>
      <c r="D22" s="226">
        <v>116.79</v>
      </c>
      <c r="E22" s="226">
        <v>111.67</v>
      </c>
      <c r="F22" s="226">
        <v>111.67</v>
      </c>
      <c r="G22" s="226">
        <v>116.79</v>
      </c>
      <c r="H22" s="621">
        <f t="shared" si="0"/>
        <v>1</v>
      </c>
    </row>
    <row r="23" spans="1:8" ht="12.75">
      <c r="A23" s="16">
        <v>12</v>
      </c>
      <c r="B23" s="6" t="s">
        <v>421</v>
      </c>
      <c r="C23" s="127">
        <v>142.217</v>
      </c>
      <c r="D23" s="226">
        <v>77.5</v>
      </c>
      <c r="E23" s="226">
        <v>149.87</v>
      </c>
      <c r="F23" s="226">
        <v>149.87</v>
      </c>
      <c r="G23" s="226">
        <v>77.5</v>
      </c>
      <c r="H23" s="621">
        <f t="shared" si="0"/>
        <v>1</v>
      </c>
    </row>
    <row r="24" spans="1:8" ht="12.75">
      <c r="A24" s="16">
        <v>13</v>
      </c>
      <c r="B24" s="6" t="s">
        <v>422</v>
      </c>
      <c r="C24" s="127">
        <v>57.452</v>
      </c>
      <c r="D24" s="226">
        <v>116.29</v>
      </c>
      <c r="E24" s="226">
        <v>153.45</v>
      </c>
      <c r="F24" s="226">
        <v>153.45</v>
      </c>
      <c r="G24" s="226">
        <v>116.29</v>
      </c>
      <c r="H24" s="621">
        <f t="shared" si="0"/>
        <v>1</v>
      </c>
    </row>
    <row r="25" spans="1:8" ht="12.75">
      <c r="A25" s="16">
        <v>14</v>
      </c>
      <c r="B25" s="6" t="s">
        <v>423</v>
      </c>
      <c r="C25" s="127">
        <v>142.217</v>
      </c>
      <c r="D25" s="226">
        <f>243.62+9.73</f>
        <v>253.35</v>
      </c>
      <c r="E25" s="226">
        <v>262.44</v>
      </c>
      <c r="F25" s="226">
        <v>262.44</v>
      </c>
      <c r="G25" s="226">
        <f>243.62+9.73</f>
        <v>253.35</v>
      </c>
      <c r="H25" s="621">
        <f t="shared" si="0"/>
        <v>1</v>
      </c>
    </row>
    <row r="26" spans="1:8" s="19" customFormat="1" ht="12.75">
      <c r="A26" s="22" t="s">
        <v>425</v>
      </c>
      <c r="B26" s="22"/>
      <c r="C26" s="131">
        <f>SUM(C12:C25)</f>
        <v>1566.2700000000002</v>
      </c>
      <c r="D26" s="131">
        <f>SUM(D12:D25)</f>
        <v>2174.61</v>
      </c>
      <c r="E26" s="131">
        <f>SUM(E12:E25)</f>
        <v>2399.9999999999995</v>
      </c>
      <c r="F26" s="131">
        <f>SUM(F12:F25)</f>
        <v>2399.9999999999995</v>
      </c>
      <c r="G26" s="131">
        <f>SUM(G12:G25)</f>
        <v>2174.61</v>
      </c>
      <c r="H26" s="620">
        <f>G26/D26</f>
        <v>1</v>
      </c>
    </row>
    <row r="27" spans="1:3" ht="12.75" customHeight="1" hidden="1">
      <c r="A27" s="20"/>
      <c r="B27" s="20"/>
      <c r="C27" s="20"/>
    </row>
    <row r="28" ht="12.75" customHeight="1" hidden="1"/>
    <row r="29" ht="12.75" hidden="1">
      <c r="C29" s="25"/>
    </row>
  </sheetData>
  <sheetProtection/>
  <printOptions/>
  <pageMargins left="0.75" right="0.75" top="0.5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Жилкина Н.М.</dc:creator>
  <cp:keywords/>
  <dc:description/>
  <cp:lastModifiedBy>8</cp:lastModifiedBy>
  <cp:lastPrinted>2016-04-15T09:19:05Z</cp:lastPrinted>
  <dcterms:created xsi:type="dcterms:W3CDTF">1996-10-08T23:32:33Z</dcterms:created>
  <dcterms:modified xsi:type="dcterms:W3CDTF">2016-09-20T10:48:06Z</dcterms:modified>
  <cp:category/>
  <cp:version/>
  <cp:contentType/>
  <cp:contentStatus/>
</cp:coreProperties>
</file>